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2\PM CARVALHOS\FISIOTERAPIA\"/>
    </mc:Choice>
  </mc:AlternateContent>
  <bookViews>
    <workbookView xWindow="0" yWindow="0" windowWidth="23040" windowHeight="9192" activeTab="4"/>
  </bookViews>
  <sheets>
    <sheet name="COTAÇÃO" sheetId="9" r:id="rId1"/>
    <sheet name="COMPOSIÇÃO DE CUSTO" sheetId="6" r:id="rId2"/>
    <sheet name="ANEXO A MC" sheetId="5" r:id="rId3"/>
    <sheet name="MEC 01 " sheetId="4" r:id="rId4"/>
    <sheet name="Planilha Orcamentaria" sheetId="1" r:id="rId5"/>
    <sheet name="CFF" sheetId="3" r:id="rId6"/>
  </sheets>
  <externalReferences>
    <externalReference r:id="rId7"/>
  </externalReferences>
  <definedNames>
    <definedName name="_xlnm.Print_Area" localSheetId="2">'ANEXO A MC'!$A$1:$N$338</definedName>
    <definedName name="_xlnm.Print_Area" localSheetId="5">CFF!$A$1:$L$49</definedName>
    <definedName name="_xlnm.Print_Area" localSheetId="0">COTAÇÃO!$A$1:$F$31</definedName>
    <definedName name="_xlnm.Print_Area" localSheetId="3">'MEC 01 '!$A$1:$G$171</definedName>
    <definedName name="_xlnm.Print_Area" localSheetId="4">'Planilha Orcamentaria'!$A$1:$H$180</definedName>
    <definedName name="_xlnm.Database">TEXT([1]Dados!$G$29,"mm-aaaa")</definedName>
    <definedName name="Fonte" localSheetId="2">#REF!</definedName>
    <definedName name="Fonte" localSheetId="0">#REF!</definedName>
    <definedName name="Fonte">#REF!</definedName>
    <definedName name="INSUMOS" localSheetId="2">#REF!</definedName>
    <definedName name="INSUMOS" localSheetId="0">#REF!</definedName>
    <definedName name="INSUMOS">#REF!</definedName>
  </definedNames>
  <calcPr calcId="162913"/>
  <extLst>
    <ext uri="GoogleSheetsCustomDataVersion1">
      <go:sheetsCustomData xmlns:go="http://customooxmlschemas.google.com/" r:id="rId10" roundtripDataSignature="AMtx7mgIdczZT03ACB7Mlr0iQfc+x+AYtw=="/>
    </ext>
  </extLst>
</workbook>
</file>

<file path=xl/calcChain.xml><?xml version="1.0" encoding="utf-8"?>
<calcChain xmlns="http://schemas.openxmlformats.org/spreadsheetml/2006/main">
  <c r="G21" i="1" l="1"/>
  <c r="H26" i="1"/>
  <c r="E154" i="4" l="1"/>
  <c r="E155" i="4"/>
  <c r="E156" i="4"/>
  <c r="E158" i="4"/>
  <c r="E159" i="4"/>
  <c r="E153" i="4"/>
  <c r="D154" i="4"/>
  <c r="D155" i="4"/>
  <c r="D156" i="4"/>
  <c r="D157" i="4"/>
  <c r="D159" i="4"/>
  <c r="D153" i="4"/>
  <c r="C154" i="4"/>
  <c r="C157" i="4"/>
  <c r="C159" i="4"/>
  <c r="B154" i="4"/>
  <c r="B157" i="4"/>
  <c r="B159" i="4"/>
  <c r="B153" i="4"/>
  <c r="C153" i="4"/>
  <c r="F166" i="1"/>
  <c r="G166" i="1" s="1"/>
  <c r="H166" i="1" s="1"/>
  <c r="B166" i="1"/>
  <c r="B158" i="4" s="1"/>
  <c r="D166" i="1"/>
  <c r="D158" i="4" s="1"/>
  <c r="C166" i="1"/>
  <c r="C158" i="4" s="1"/>
  <c r="G47" i="6"/>
  <c r="G46" i="6"/>
  <c r="B164" i="1"/>
  <c r="B156" i="4" s="1"/>
  <c r="B163" i="1"/>
  <c r="B155" i="4" s="1"/>
  <c r="F164" i="1"/>
  <c r="G164" i="1" s="1"/>
  <c r="H164" i="1" s="1"/>
  <c r="F163" i="1"/>
  <c r="F39" i="6"/>
  <c r="G39" i="6" s="1"/>
  <c r="G37" i="6" s="1"/>
  <c r="F32" i="6"/>
  <c r="G32" i="6" s="1"/>
  <c r="G30" i="6" s="1"/>
  <c r="C164" i="1"/>
  <c r="C156" i="4" s="1"/>
  <c r="C163" i="1"/>
  <c r="C155" i="4" s="1"/>
  <c r="A5" i="9"/>
  <c r="A4" i="9"/>
  <c r="A3" i="9"/>
  <c r="A2" i="9"/>
  <c r="F18" i="9"/>
  <c r="F10" i="9"/>
  <c r="G40" i="6"/>
  <c r="G33" i="6"/>
  <c r="B66" i="4"/>
  <c r="B47" i="4"/>
  <c r="B46" i="4"/>
  <c r="B33" i="4"/>
  <c r="B32" i="4"/>
  <c r="B31" i="4"/>
  <c r="G119" i="1"/>
  <c r="G44" i="6" l="1"/>
  <c r="G46" i="1"/>
  <c r="H46" i="1" s="1"/>
  <c r="G139" i="1"/>
  <c r="H139" i="1" s="1"/>
  <c r="B39" i="3" l="1"/>
  <c r="B37" i="3"/>
  <c r="B35" i="3"/>
  <c r="B33" i="3"/>
  <c r="G20" i="1"/>
  <c r="E124" i="1" l="1"/>
  <c r="G124" i="1"/>
  <c r="E122" i="4"/>
  <c r="E130" i="1" s="1"/>
  <c r="G130" i="1"/>
  <c r="E42" i="4"/>
  <c r="E50" i="1" s="1"/>
  <c r="G50" i="1"/>
  <c r="E176" i="1"/>
  <c r="E177" i="1"/>
  <c r="E175" i="1"/>
  <c r="G177" i="1"/>
  <c r="G176" i="1"/>
  <c r="G175" i="1"/>
  <c r="G163" i="1"/>
  <c r="G165" i="1"/>
  <c r="E171" i="1"/>
  <c r="E172" i="1"/>
  <c r="E173" i="1"/>
  <c r="E162" i="4"/>
  <c r="E170" i="1" s="1"/>
  <c r="E161" i="4"/>
  <c r="E169" i="1" s="1"/>
  <c r="G169" i="1"/>
  <c r="G172" i="1"/>
  <c r="G173" i="1"/>
  <c r="G171" i="1"/>
  <c r="G170" i="1"/>
  <c r="G155" i="1"/>
  <c r="E155" i="1"/>
  <c r="E153" i="1"/>
  <c r="G153" i="1"/>
  <c r="E152" i="1"/>
  <c r="E151" i="1"/>
  <c r="E150" i="1"/>
  <c r="E149" i="1"/>
  <c r="G149" i="1"/>
  <c r="E139" i="4"/>
  <c r="E147" i="1" s="1"/>
  <c r="E137" i="4"/>
  <c r="E138" i="4" s="1"/>
  <c r="E133" i="4"/>
  <c r="E141" i="1" s="1"/>
  <c r="E142" i="1" s="1"/>
  <c r="G138" i="1"/>
  <c r="E130" i="4"/>
  <c r="E138" i="1" s="1"/>
  <c r="G128" i="1"/>
  <c r="H128" i="5"/>
  <c r="E111" i="4"/>
  <c r="E119" i="1" s="1"/>
  <c r="H119" i="1" s="1"/>
  <c r="E115" i="4"/>
  <c r="E123" i="1" s="1"/>
  <c r="H130" i="1" l="1"/>
  <c r="H124" i="1"/>
  <c r="H50" i="1"/>
  <c r="H176" i="1"/>
  <c r="H177" i="1"/>
  <c r="H175" i="1"/>
  <c r="H163" i="1"/>
  <c r="H165" i="1"/>
  <c r="H173" i="1"/>
  <c r="H169" i="1"/>
  <c r="H172" i="1"/>
  <c r="H170" i="1"/>
  <c r="H171" i="1"/>
  <c r="H155" i="1"/>
  <c r="H153" i="1"/>
  <c r="H149" i="1"/>
  <c r="H138" i="1"/>
  <c r="C123" i="1"/>
  <c r="C115" i="4" s="1"/>
  <c r="G24" i="6"/>
  <c r="G25" i="6"/>
  <c r="G23" i="6"/>
  <c r="G26" i="6"/>
  <c r="G22" i="6"/>
  <c r="G21" i="6"/>
  <c r="E122" i="1"/>
  <c r="E113" i="4"/>
  <c r="E121" i="1" s="1"/>
  <c r="G122" i="1"/>
  <c r="G121" i="1"/>
  <c r="E105" i="4"/>
  <c r="E113" i="1"/>
  <c r="G113" i="1"/>
  <c r="G15" i="6"/>
  <c r="G14" i="6"/>
  <c r="G13" i="6"/>
  <c r="G7" i="6"/>
  <c r="G6" i="6"/>
  <c r="G5" i="6"/>
  <c r="E106" i="1"/>
  <c r="E105" i="1"/>
  <c r="C97" i="4"/>
  <c r="C98" i="4"/>
  <c r="C95" i="4"/>
  <c r="C96" i="4"/>
  <c r="C63" i="4"/>
  <c r="G71" i="1"/>
  <c r="H71" i="1" s="1"/>
  <c r="C94" i="4"/>
  <c r="C90" i="4"/>
  <c r="C91" i="4"/>
  <c r="C92" i="4"/>
  <c r="C93" i="4"/>
  <c r="C89" i="4"/>
  <c r="D76" i="4"/>
  <c r="D77" i="4"/>
  <c r="D78" i="4"/>
  <c r="C77" i="4"/>
  <c r="C78" i="4"/>
  <c r="E83" i="1"/>
  <c r="E82" i="1"/>
  <c r="G87" i="1"/>
  <c r="H87" i="1" s="1"/>
  <c r="G86" i="1"/>
  <c r="H86" i="1" s="1"/>
  <c r="G85" i="1"/>
  <c r="H85" i="1" s="1"/>
  <c r="G84" i="1"/>
  <c r="H84" i="1" s="1"/>
  <c r="C75" i="4"/>
  <c r="D75" i="4"/>
  <c r="C76" i="4"/>
  <c r="C79" i="4"/>
  <c r="D79" i="4"/>
  <c r="C74" i="4"/>
  <c r="D74" i="4"/>
  <c r="G83" i="1"/>
  <c r="C85" i="4"/>
  <c r="E48" i="4"/>
  <c r="E56" i="1" s="1"/>
  <c r="C74" i="1"/>
  <c r="D74" i="1"/>
  <c r="B74" i="1"/>
  <c r="E66" i="4"/>
  <c r="E74" i="1" s="1"/>
  <c r="G74" i="1"/>
  <c r="G73" i="1"/>
  <c r="E65" i="4"/>
  <c r="E73" i="1" s="1"/>
  <c r="C65" i="4"/>
  <c r="E64" i="4"/>
  <c r="E65" i="1"/>
  <c r="E64" i="1"/>
  <c r="G54" i="1"/>
  <c r="G55" i="1"/>
  <c r="E55" i="1"/>
  <c r="E54" i="1"/>
  <c r="B55" i="1"/>
  <c r="C55" i="1"/>
  <c r="D55" i="1"/>
  <c r="C54" i="1"/>
  <c r="D54" i="1"/>
  <c r="B54" i="1"/>
  <c r="E63" i="1"/>
  <c r="E62" i="1"/>
  <c r="E61" i="1"/>
  <c r="E59" i="1"/>
  <c r="E60" i="1"/>
  <c r="E58" i="1"/>
  <c r="E49" i="4"/>
  <c r="E57" i="1" s="1"/>
  <c r="G56" i="1"/>
  <c r="G57" i="1"/>
  <c r="G58" i="1"/>
  <c r="E41" i="4"/>
  <c r="E40" i="4"/>
  <c r="E39" i="4"/>
  <c r="G11" i="6" l="1"/>
  <c r="F104" i="1" s="1"/>
  <c r="G3" i="6"/>
  <c r="F103" i="1" s="1"/>
  <c r="H174" i="1"/>
  <c r="D40" i="3" s="1"/>
  <c r="L40" i="3" s="1"/>
  <c r="H168" i="1"/>
  <c r="D38" i="3" s="1"/>
  <c r="H121" i="1"/>
  <c r="H122" i="1"/>
  <c r="G19" i="6"/>
  <c r="F123" i="1" s="1"/>
  <c r="G123" i="1" s="1"/>
  <c r="H123" i="1" s="1"/>
  <c r="H113" i="1"/>
  <c r="H55" i="1"/>
  <c r="H83" i="1"/>
  <c r="H73" i="1"/>
  <c r="H74" i="1"/>
  <c r="H54" i="1"/>
  <c r="H58" i="1"/>
  <c r="H57" i="1"/>
  <c r="H56" i="1"/>
  <c r="E36" i="4"/>
  <c r="E37" i="4" s="1"/>
  <c r="E31" i="4"/>
  <c r="E32" i="4"/>
  <c r="E40" i="1" s="1"/>
  <c r="E33" i="4"/>
  <c r="E41" i="1" s="1"/>
  <c r="G40" i="1"/>
  <c r="B40" i="1"/>
  <c r="C40" i="1"/>
  <c r="H124" i="5"/>
  <c r="G124" i="5"/>
  <c r="L91" i="5" s="1"/>
  <c r="G27" i="1"/>
  <c r="K9" i="5"/>
  <c r="K10" i="5"/>
  <c r="K11" i="5"/>
  <c r="K12" i="5"/>
  <c r="K13" i="5"/>
  <c r="K14" i="5"/>
  <c r="K15" i="5"/>
  <c r="K8"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91"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20"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91" i="5"/>
  <c r="H40" i="1" l="1"/>
  <c r="E25" i="4"/>
  <c r="E33" i="1" s="1"/>
  <c r="K16" i="5"/>
  <c r="I124" i="5"/>
  <c r="I63" i="5"/>
  <c r="I64" i="5"/>
  <c r="I65" i="5"/>
  <c r="I66" i="5"/>
  <c r="I67" i="5"/>
  <c r="I68" i="5"/>
  <c r="I69" i="5"/>
  <c r="I70" i="5"/>
  <c r="I71" i="5"/>
  <c r="I72" i="5"/>
  <c r="I73" i="5"/>
  <c r="I74" i="5"/>
  <c r="I75" i="5"/>
  <c r="I76" i="5"/>
  <c r="I77" i="5"/>
  <c r="I78" i="5"/>
  <c r="I79" i="5"/>
  <c r="I80" i="5"/>
  <c r="I81" i="5"/>
  <c r="I82" i="5"/>
  <c r="I83" i="5"/>
  <c r="I84" i="5"/>
  <c r="I85" i="5"/>
  <c r="I86" i="5"/>
  <c r="I62" i="5"/>
  <c r="F63" i="5"/>
  <c r="F64" i="5"/>
  <c r="F65" i="5"/>
  <c r="F66" i="5"/>
  <c r="F67" i="5"/>
  <c r="F68" i="5"/>
  <c r="F69" i="5"/>
  <c r="F70" i="5"/>
  <c r="F71" i="5"/>
  <c r="F72" i="5"/>
  <c r="F73" i="5"/>
  <c r="F74" i="5"/>
  <c r="F75" i="5"/>
  <c r="F76" i="5"/>
  <c r="F77" i="5"/>
  <c r="F78" i="5"/>
  <c r="F79" i="5"/>
  <c r="F80" i="5"/>
  <c r="F81" i="5"/>
  <c r="F82" i="5"/>
  <c r="F83" i="5"/>
  <c r="F84" i="5"/>
  <c r="F85" i="5"/>
  <c r="F86" i="5"/>
  <c r="F62" i="5"/>
  <c r="K54" i="5"/>
  <c r="J54"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20" i="5"/>
  <c r="L54" i="5"/>
  <c r="F53" i="5"/>
  <c r="H53" i="5"/>
  <c r="I53" i="5"/>
  <c r="F51" i="5"/>
  <c r="H51" i="5"/>
  <c r="I51" i="5"/>
  <c r="F52" i="5"/>
  <c r="H52" i="5"/>
  <c r="I52" i="5"/>
  <c r="F43" i="5"/>
  <c r="H43" i="5"/>
  <c r="I43" i="5"/>
  <c r="F44" i="5"/>
  <c r="H44" i="5"/>
  <c r="I44" i="5"/>
  <c r="F45" i="5"/>
  <c r="H45" i="5"/>
  <c r="I45" i="5"/>
  <c r="F46" i="5"/>
  <c r="H46" i="5"/>
  <c r="I46" i="5"/>
  <c r="F47" i="5"/>
  <c r="H47" i="5"/>
  <c r="I47" i="5"/>
  <c r="F48" i="5"/>
  <c r="H48" i="5"/>
  <c r="I48" i="5"/>
  <c r="F49" i="5"/>
  <c r="H49" i="5"/>
  <c r="I49" i="5"/>
  <c r="F50" i="5"/>
  <c r="H50" i="5"/>
  <c r="I50" i="5"/>
  <c r="F38" i="5"/>
  <c r="H38" i="5"/>
  <c r="I38" i="5"/>
  <c r="F39" i="5"/>
  <c r="H39" i="5"/>
  <c r="I39" i="5"/>
  <c r="F40" i="5"/>
  <c r="H40" i="5"/>
  <c r="I40" i="5"/>
  <c r="F41" i="5"/>
  <c r="H41" i="5"/>
  <c r="I41" i="5"/>
  <c r="F42" i="5"/>
  <c r="H42" i="5"/>
  <c r="I42" i="5"/>
  <c r="F26" i="5"/>
  <c r="H26" i="5"/>
  <c r="I26" i="5"/>
  <c r="F27" i="5"/>
  <c r="H27" i="5"/>
  <c r="I27" i="5"/>
  <c r="F28" i="5"/>
  <c r="H28" i="5"/>
  <c r="I28" i="5"/>
  <c r="F29" i="5"/>
  <c r="H29" i="5"/>
  <c r="I29" i="5"/>
  <c r="F30" i="5"/>
  <c r="H30" i="5"/>
  <c r="I30" i="5"/>
  <c r="F31" i="5"/>
  <c r="H31" i="5"/>
  <c r="I31" i="5"/>
  <c r="F32" i="5"/>
  <c r="H32" i="5"/>
  <c r="I32" i="5"/>
  <c r="F33" i="5"/>
  <c r="H33" i="5"/>
  <c r="I33" i="5"/>
  <c r="F34" i="5"/>
  <c r="H34" i="5"/>
  <c r="I34" i="5"/>
  <c r="F35" i="5"/>
  <c r="H35" i="5"/>
  <c r="I35" i="5"/>
  <c r="F36" i="5"/>
  <c r="H36" i="5"/>
  <c r="I36" i="5"/>
  <c r="F37" i="5"/>
  <c r="H37" i="5"/>
  <c r="I37" i="5"/>
  <c r="G9" i="5"/>
  <c r="G10" i="5"/>
  <c r="G11" i="5"/>
  <c r="G12" i="5"/>
  <c r="G13" i="5"/>
  <c r="G14" i="5"/>
  <c r="G15" i="5"/>
  <c r="G8" i="5"/>
  <c r="I16" i="5"/>
  <c r="I25" i="5"/>
  <c r="H25" i="5"/>
  <c r="F25" i="5"/>
  <c r="I24" i="5"/>
  <c r="H24" i="5"/>
  <c r="F24" i="5"/>
  <c r="I23" i="5"/>
  <c r="H23" i="5"/>
  <c r="F23" i="5"/>
  <c r="I22" i="5"/>
  <c r="H22" i="5"/>
  <c r="F22" i="5"/>
  <c r="I21" i="5"/>
  <c r="H21" i="5"/>
  <c r="F21" i="5"/>
  <c r="I20" i="5"/>
  <c r="H20" i="5"/>
  <c r="F20" i="5"/>
  <c r="J15" i="5"/>
  <c r="J8" i="5"/>
  <c r="J9" i="5"/>
  <c r="J10" i="5"/>
  <c r="J11" i="5"/>
  <c r="J12" i="5"/>
  <c r="J13" i="5"/>
  <c r="J14" i="5"/>
  <c r="H15" i="5"/>
  <c r="F15" i="5"/>
  <c r="H14" i="5"/>
  <c r="F14" i="5"/>
  <c r="H13" i="5"/>
  <c r="F13" i="5"/>
  <c r="H12" i="5"/>
  <c r="F12" i="5"/>
  <c r="H11" i="5"/>
  <c r="F11" i="5"/>
  <c r="H10" i="5"/>
  <c r="F10" i="5"/>
  <c r="H9" i="5"/>
  <c r="F9" i="5"/>
  <c r="H8" i="5"/>
  <c r="F8" i="5"/>
  <c r="E19" i="4" l="1"/>
  <c r="E27" i="1" s="1"/>
  <c r="H27" i="1" s="1"/>
  <c r="F58" i="5"/>
  <c r="F124" i="5"/>
  <c r="I87" i="5"/>
  <c r="E24" i="4" s="1"/>
  <c r="E32" i="1" s="1"/>
  <c r="H54" i="5"/>
  <c r="C58" i="5" s="1"/>
  <c r="F87" i="5"/>
  <c r="I54" i="5"/>
  <c r="J16" i="5"/>
  <c r="E21" i="4" s="1"/>
  <c r="E29" i="1" s="1"/>
  <c r="I29" i="1" s="1"/>
  <c r="F54" i="5"/>
  <c r="G16" i="5"/>
  <c r="G54" i="5"/>
  <c r="H16" i="5"/>
  <c r="F16" i="5"/>
  <c r="M182" i="5"/>
  <c r="M214" i="5"/>
  <c r="M210" i="5"/>
  <c r="M200" i="5"/>
  <c r="M206" i="5"/>
  <c r="M223" i="5"/>
  <c r="M227" i="5"/>
  <c r="M192" i="5"/>
  <c r="M178" i="5"/>
  <c r="H178" i="5"/>
  <c r="M174" i="5"/>
  <c r="H174" i="5"/>
  <c r="H170" i="5"/>
  <c r="M170" i="5"/>
  <c r="M154" i="5"/>
  <c r="M91" i="5" l="1"/>
  <c r="D58" i="5"/>
  <c r="E58" i="5"/>
  <c r="K91" i="5"/>
  <c r="I27" i="1"/>
  <c r="E17" i="4"/>
  <c r="E25" i="1" s="1"/>
  <c r="B58" i="5"/>
  <c r="E28" i="1"/>
  <c r="A58" i="5"/>
  <c r="E22" i="4"/>
  <c r="E30" i="1" s="1"/>
  <c r="E26" i="4"/>
  <c r="E34" i="1" s="1"/>
  <c r="E15" i="4"/>
  <c r="E23" i="1" s="1"/>
  <c r="E20" i="4"/>
  <c r="F30" i="4"/>
  <c r="G38" i="1"/>
  <c r="G39" i="1"/>
  <c r="G41" i="1"/>
  <c r="G42" i="1"/>
  <c r="E39" i="1"/>
  <c r="B39" i="1"/>
  <c r="B41" i="1"/>
  <c r="C38" i="1"/>
  <c r="C39" i="1"/>
  <c r="C41" i="1"/>
  <c r="C42" i="1"/>
  <c r="C37" i="1"/>
  <c r="N128" i="5"/>
  <c r="N231" i="5" s="1"/>
  <c r="E29" i="4" s="1"/>
  <c r="E37" i="1" s="1"/>
  <c r="E45" i="1"/>
  <c r="E47" i="1"/>
  <c r="E48" i="1"/>
  <c r="E49" i="1"/>
  <c r="E51" i="1"/>
  <c r="E52" i="1"/>
  <c r="E44" i="1"/>
  <c r="E179" i="1"/>
  <c r="E154" i="1"/>
  <c r="E156" i="1"/>
  <c r="E157" i="1"/>
  <c r="E158" i="1"/>
  <c r="E159" i="1"/>
  <c r="G143" i="1"/>
  <c r="G144" i="1"/>
  <c r="D144" i="1"/>
  <c r="D143" i="1"/>
  <c r="C144" i="1"/>
  <c r="C143" i="1"/>
  <c r="E120" i="1"/>
  <c r="C118" i="1"/>
  <c r="C117" i="1"/>
  <c r="E115" i="1"/>
  <c r="E34" i="4"/>
  <c r="E42" i="1" s="1"/>
  <c r="F13" i="4"/>
  <c r="E129" i="4"/>
  <c r="E137" i="1" s="1"/>
  <c r="J288" i="5"/>
  <c r="J299" i="5"/>
  <c r="J330" i="5"/>
  <c r="I30" i="1" l="1"/>
  <c r="H42" i="1"/>
  <c r="H41" i="1"/>
  <c r="H39" i="1"/>
  <c r="J270" i="5"/>
  <c r="J260" i="5" l="1"/>
  <c r="H334" i="5"/>
  <c r="H330" i="5"/>
  <c r="H325" i="5"/>
  <c r="H321" i="5"/>
  <c r="H313" i="5"/>
  <c r="H307" i="5"/>
  <c r="H299" i="5"/>
  <c r="H288" i="5"/>
  <c r="H280" i="5"/>
  <c r="H284" i="5"/>
  <c r="H276" i="5"/>
  <c r="H270" i="5"/>
  <c r="H266" i="5"/>
  <c r="H260" i="5"/>
  <c r="H253" i="5"/>
  <c r="G236" i="5"/>
  <c r="I236" i="5" s="1"/>
  <c r="I338" i="5" s="1"/>
  <c r="E127" i="4" s="1"/>
  <c r="E135" i="1" s="1"/>
  <c r="B326" i="5"/>
  <c r="B259" i="5"/>
  <c r="J253" i="5" s="1"/>
  <c r="B251" i="5"/>
  <c r="J236" i="5" s="1"/>
  <c r="F121" i="4"/>
  <c r="F124" i="4" s="1"/>
  <c r="F125" i="4" s="1"/>
  <c r="F126" i="4" s="1"/>
  <c r="F127" i="4" s="1"/>
  <c r="F128" i="4" s="1"/>
  <c r="F138" i="4"/>
  <c r="F134" i="4"/>
  <c r="F135" i="4" s="1"/>
  <c r="F136" i="4" s="1"/>
  <c r="F119" i="4"/>
  <c r="B143" i="5"/>
  <c r="K227" i="5"/>
  <c r="H227" i="5"/>
  <c r="H223" i="5"/>
  <c r="K223" i="5" s="1"/>
  <c r="L227" i="5"/>
  <c r="B219" i="5"/>
  <c r="H218" i="5" s="1"/>
  <c r="L214" i="5"/>
  <c r="L210" i="5"/>
  <c r="K210" i="5"/>
  <c r="E146" i="1" l="1"/>
  <c r="E145" i="1"/>
  <c r="M128" i="5"/>
  <c r="G338" i="5"/>
  <c r="E124" i="4" s="1"/>
  <c r="H338" i="5"/>
  <c r="E126" i="4" s="1"/>
  <c r="E134" i="1" s="1"/>
  <c r="J338" i="5"/>
  <c r="E128" i="4" s="1"/>
  <c r="E136" i="1" s="1"/>
  <c r="K218" i="5"/>
  <c r="K206" i="5"/>
  <c r="E125" i="4" l="1"/>
  <c r="E133" i="1" s="1"/>
  <c r="E132" i="1"/>
  <c r="E16" i="4"/>
  <c r="E24" i="1" s="1"/>
  <c r="H206" i="5"/>
  <c r="I206" i="5" s="1"/>
  <c r="K200" i="5"/>
  <c r="H200" i="5"/>
  <c r="I200" i="5" s="1"/>
  <c r="I227" i="5"/>
  <c r="I223" i="5"/>
  <c r="I218" i="5"/>
  <c r="J218" i="5" s="1"/>
  <c r="K214" i="5"/>
  <c r="H214" i="5"/>
  <c r="I214" i="5" s="1"/>
  <c r="H210" i="5"/>
  <c r="I210" i="5" s="1"/>
  <c r="H192" i="5"/>
  <c r="I192" i="5" s="1"/>
  <c r="K192" i="5" s="1"/>
  <c r="H182" i="5"/>
  <c r="I182" i="5" s="1"/>
  <c r="K182" i="5" s="1"/>
  <c r="K178" i="5"/>
  <c r="I178" i="5"/>
  <c r="K174" i="5"/>
  <c r="I174" i="5"/>
  <c r="K170" i="5"/>
  <c r="I170" i="5"/>
  <c r="H164" i="5"/>
  <c r="I164" i="5" s="1"/>
  <c r="K164" i="5" s="1"/>
  <c r="K160" i="5"/>
  <c r="C160" i="5"/>
  <c r="H160" i="5" s="1"/>
  <c r="I160" i="5" s="1"/>
  <c r="L160" i="5"/>
  <c r="L231" i="5" s="1"/>
  <c r="H154" i="5"/>
  <c r="I154" i="5" s="1"/>
  <c r="B153" i="5"/>
  <c r="H147" i="5" l="1"/>
  <c r="I147" i="5" s="1"/>
  <c r="K147" i="5" s="1"/>
  <c r="M147" i="5"/>
  <c r="M231" i="5" s="1"/>
  <c r="E30" i="4" s="1"/>
  <c r="E38" i="1" s="1"/>
  <c r="H38" i="1" s="1"/>
  <c r="J170" i="5"/>
  <c r="E136" i="4"/>
  <c r="E144" i="1" s="1"/>
  <c r="H144" i="1" s="1"/>
  <c r="E135" i="4"/>
  <c r="E143" i="1" s="1"/>
  <c r="H143" i="1" s="1"/>
  <c r="K154" i="5"/>
  <c r="J214" i="5"/>
  <c r="J227" i="5"/>
  <c r="J210" i="5"/>
  <c r="J206" i="5"/>
  <c r="J200" i="5"/>
  <c r="J160" i="5"/>
  <c r="J178" i="5"/>
  <c r="J174" i="5"/>
  <c r="E109" i="4"/>
  <c r="E117" i="1" s="1"/>
  <c r="E110" i="4"/>
  <c r="E118" i="1" s="1"/>
  <c r="A4" i="4"/>
  <c r="A4" i="5" s="1"/>
  <c r="A3" i="4"/>
  <c r="A3" i="5" s="1"/>
  <c r="A2" i="4"/>
  <c r="A2" i="5" s="1"/>
  <c r="B41" i="3"/>
  <c r="B31" i="3"/>
  <c r="B29" i="3"/>
  <c r="B27" i="3"/>
  <c r="B25" i="3"/>
  <c r="B23" i="3"/>
  <c r="B21" i="3"/>
  <c r="B19" i="3"/>
  <c r="B17" i="3"/>
  <c r="B15" i="3"/>
  <c r="B13" i="3"/>
  <c r="B11" i="3"/>
  <c r="B9" i="3"/>
  <c r="B7" i="3"/>
  <c r="H231" i="5" l="1"/>
  <c r="H232" i="5" s="1"/>
  <c r="I232" i="5" s="1"/>
  <c r="J231" i="5"/>
  <c r="E121" i="4" s="1"/>
  <c r="K128" i="5"/>
  <c r="K231" i="5" s="1"/>
  <c r="I128" i="5"/>
  <c r="I231" i="5" s="1"/>
  <c r="E134" i="4" s="1"/>
  <c r="H20" i="1"/>
  <c r="E129" i="1" l="1"/>
  <c r="E128" i="1" s="1"/>
  <c r="H128" i="1" s="1"/>
  <c r="E120" i="4"/>
  <c r="E118" i="4"/>
  <c r="E119" i="4" s="1"/>
  <c r="E127" i="1" s="1"/>
  <c r="G146" i="1"/>
  <c r="H146" i="1" s="1"/>
  <c r="G147" i="1"/>
  <c r="H147" i="1" s="1"/>
  <c r="G150" i="1"/>
  <c r="H150" i="1" s="1"/>
  <c r="G151" i="1"/>
  <c r="H151" i="1" s="1"/>
  <c r="G152" i="1"/>
  <c r="H152" i="1" s="1"/>
  <c r="G154" i="1"/>
  <c r="H154" i="1" s="1"/>
  <c r="G156" i="1"/>
  <c r="H156" i="1" s="1"/>
  <c r="G157" i="1"/>
  <c r="H157" i="1" s="1"/>
  <c r="G158" i="1"/>
  <c r="H158" i="1" s="1"/>
  <c r="G159" i="1"/>
  <c r="H159" i="1" s="1"/>
  <c r="G161" i="1"/>
  <c r="H161" i="1" s="1"/>
  <c r="G162" i="1"/>
  <c r="G167" i="1"/>
  <c r="H167" i="1" s="1"/>
  <c r="G179" i="1"/>
  <c r="H179" i="1" s="1"/>
  <c r="H178" i="1" s="1"/>
  <c r="D42" i="3" s="1"/>
  <c r="G28" i="1"/>
  <c r="H28" i="1" s="1"/>
  <c r="G29" i="1"/>
  <c r="H29" i="1" s="1"/>
  <c r="G30" i="1"/>
  <c r="H30" i="1" s="1"/>
  <c r="G32" i="1"/>
  <c r="H32" i="1" s="1"/>
  <c r="G33" i="1"/>
  <c r="H33" i="1" s="1"/>
  <c r="G34" i="1"/>
  <c r="H34" i="1" s="1"/>
  <c r="G35" i="1"/>
  <c r="H35" i="1" s="1"/>
  <c r="G37" i="1"/>
  <c r="H37" i="1" s="1"/>
  <c r="G44" i="1"/>
  <c r="H44" i="1" s="1"/>
  <c r="G45" i="1"/>
  <c r="H45" i="1" s="1"/>
  <c r="G47" i="1"/>
  <c r="H47" i="1" s="1"/>
  <c r="G48" i="1"/>
  <c r="H48" i="1" s="1"/>
  <c r="G49" i="1"/>
  <c r="H49" i="1" s="1"/>
  <c r="G51" i="1"/>
  <c r="H51" i="1" s="1"/>
  <c r="G52" i="1"/>
  <c r="H52"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2" i="1"/>
  <c r="H72" i="1" s="1"/>
  <c r="G75" i="1"/>
  <c r="H75" i="1" s="1"/>
  <c r="G76" i="1"/>
  <c r="H76" i="1" s="1"/>
  <c r="G77" i="1"/>
  <c r="H77" i="1" s="1"/>
  <c r="G78" i="1"/>
  <c r="H78" i="1" s="1"/>
  <c r="G79" i="1"/>
  <c r="H79" i="1" s="1"/>
  <c r="G80" i="1"/>
  <c r="H80" i="1" s="1"/>
  <c r="G88" i="1"/>
  <c r="H88" i="1" s="1"/>
  <c r="G89" i="1"/>
  <c r="H89" i="1" s="1"/>
  <c r="G90" i="1"/>
  <c r="H90" i="1" s="1"/>
  <c r="G91" i="1"/>
  <c r="H91" i="1" s="1"/>
  <c r="G92" i="1"/>
  <c r="H92" i="1" s="1"/>
  <c r="G93" i="1"/>
  <c r="H93" i="1" s="1"/>
  <c r="G94" i="1"/>
  <c r="H94" i="1" s="1"/>
  <c r="G105" i="1"/>
  <c r="H105" i="1" s="1"/>
  <c r="G106" i="1"/>
  <c r="H106" i="1" s="1"/>
  <c r="G107" i="1"/>
  <c r="H107" i="1" s="1"/>
  <c r="G108" i="1"/>
  <c r="H108" i="1" s="1"/>
  <c r="G109" i="1"/>
  <c r="H109" i="1" s="1"/>
  <c r="G110" i="1"/>
  <c r="H110" i="1" s="1"/>
  <c r="G111" i="1"/>
  <c r="H111" i="1" s="1"/>
  <c r="G98" i="1"/>
  <c r="H98" i="1" s="1"/>
  <c r="G99" i="1"/>
  <c r="H99" i="1" s="1"/>
  <c r="G95" i="1"/>
  <c r="H95" i="1" s="1"/>
  <c r="G96" i="1"/>
  <c r="H96" i="1" s="1"/>
  <c r="G97" i="1"/>
  <c r="H97" i="1" s="1"/>
  <c r="G112" i="1"/>
  <c r="H112" i="1" s="1"/>
  <c r="G103" i="1"/>
  <c r="H103" i="1" s="1"/>
  <c r="G104" i="1"/>
  <c r="H104" i="1" s="1"/>
  <c r="G102" i="1"/>
  <c r="H102" i="1" s="1"/>
  <c r="G100" i="1"/>
  <c r="H100" i="1" s="1"/>
  <c r="G101" i="1"/>
  <c r="H101" i="1" s="1"/>
  <c r="G82" i="1"/>
  <c r="H82" i="1" s="1"/>
  <c r="G115" i="1"/>
  <c r="H115" i="1" s="1"/>
  <c r="G117" i="1"/>
  <c r="H117" i="1" s="1"/>
  <c r="G118" i="1"/>
  <c r="H118" i="1" s="1"/>
  <c r="G120" i="1"/>
  <c r="H120" i="1" s="1"/>
  <c r="G126" i="1"/>
  <c r="G127" i="1"/>
  <c r="G129" i="1"/>
  <c r="G132" i="1"/>
  <c r="H132" i="1" s="1"/>
  <c r="G133" i="1"/>
  <c r="H133" i="1" s="1"/>
  <c r="G134" i="1"/>
  <c r="H134" i="1" s="1"/>
  <c r="G135" i="1"/>
  <c r="H135" i="1" s="1"/>
  <c r="G136" i="1"/>
  <c r="H136" i="1" s="1"/>
  <c r="G137" i="1"/>
  <c r="H137" i="1" s="1"/>
  <c r="G141" i="1"/>
  <c r="G142" i="1"/>
  <c r="H142" i="1" s="1"/>
  <c r="G145" i="1"/>
  <c r="H145" i="1" s="1"/>
  <c r="G23" i="1"/>
  <c r="H23" i="1" s="1"/>
  <c r="G24" i="1"/>
  <c r="H24" i="1" s="1"/>
  <c r="G25" i="1"/>
  <c r="H25" i="1" s="1"/>
  <c r="G16" i="1"/>
  <c r="H16" i="1" s="1"/>
  <c r="G17" i="1"/>
  <c r="H17" i="1" s="1"/>
  <c r="G18" i="1"/>
  <c r="H18" i="1" s="1"/>
  <c r="G19" i="1"/>
  <c r="H19" i="1" s="1"/>
  <c r="H131" i="1" l="1"/>
  <c r="D30" i="3" s="1"/>
  <c r="H116" i="1"/>
  <c r="D26" i="3" s="1"/>
  <c r="H148" i="1"/>
  <c r="D34" i="3" s="1"/>
  <c r="L34" i="3" s="1"/>
  <c r="L42" i="3"/>
  <c r="H129" i="1"/>
  <c r="H81" i="1"/>
  <c r="D22" i="3" s="1"/>
  <c r="L22" i="3" s="1"/>
  <c r="H141" i="1"/>
  <c r="H140" i="1" s="1"/>
  <c r="D32" i="3" s="1"/>
  <c r="E126" i="1"/>
  <c r="H126" i="1" s="1"/>
  <c r="H127" i="1"/>
  <c r="H43" i="1"/>
  <c r="D18" i="3" s="1"/>
  <c r="I18" i="3" s="1"/>
  <c r="D12" i="3"/>
  <c r="E12" i="3" s="1"/>
  <c r="H53" i="1"/>
  <c r="D20" i="3" s="1"/>
  <c r="L20" i="3" s="1"/>
  <c r="H114" i="1"/>
  <c r="D24" i="3" s="1"/>
  <c r="L24" i="3" s="1"/>
  <c r="H22" i="1"/>
  <c r="D10" i="3" s="1"/>
  <c r="E10" i="3" s="1"/>
  <c r="H36" i="1"/>
  <c r="D16" i="3" s="1"/>
  <c r="H31" i="1"/>
  <c r="D14" i="3" s="1"/>
  <c r="H14" i="3" s="1"/>
  <c r="G15" i="1"/>
  <c r="H15" i="1" s="1"/>
  <c r="F16" i="3" l="1"/>
  <c r="H16" i="3"/>
  <c r="L26" i="3"/>
  <c r="K26" i="3"/>
  <c r="L38" i="3"/>
  <c r="H125" i="1"/>
  <c r="D28" i="3" s="1"/>
  <c r="J28" i="3" s="1"/>
  <c r="G20" i="3"/>
  <c r="K20" i="3"/>
  <c r="G16" i="3"/>
  <c r="L32" i="3"/>
  <c r="K32" i="3"/>
  <c r="G14" i="3"/>
  <c r="F14" i="3"/>
  <c r="H18" i="3"/>
  <c r="K22" i="3"/>
  <c r="G22" i="3"/>
  <c r="J30" i="3"/>
  <c r="K30" i="3"/>
  <c r="F44" i="3" l="1"/>
  <c r="K44" i="3"/>
  <c r="J44" i="3"/>
  <c r="H44" i="3"/>
  <c r="G44" i="3"/>
  <c r="I28" i="3"/>
  <c r="H21" i="1"/>
  <c r="H14" i="1" s="1"/>
  <c r="D8" i="3" s="1"/>
  <c r="E8" i="3" l="1"/>
  <c r="I44" i="3"/>
  <c r="E44" i="3" l="1"/>
  <c r="H162" i="1"/>
  <c r="H160" i="1" s="1"/>
  <c r="H180" i="1" l="1"/>
  <c r="D36" i="3"/>
  <c r="D44" i="3" l="1"/>
  <c r="D35" i="3" s="1"/>
  <c r="L36" i="3"/>
  <c r="D43" i="3" l="1"/>
  <c r="L43" i="3"/>
  <c r="L44" i="3"/>
  <c r="D39" i="3"/>
  <c r="D27" i="3"/>
  <c r="F43" i="3"/>
  <c r="D23" i="3"/>
  <c r="D41" i="3"/>
  <c r="K43" i="3"/>
  <c r="J43" i="3"/>
  <c r="D37" i="3"/>
  <c r="I43" i="3"/>
  <c r="D11" i="3"/>
  <c r="E43" i="3"/>
  <c r="D15" i="3"/>
  <c r="D9" i="3"/>
  <c r="D29" i="3"/>
  <c r="F4" i="3"/>
  <c r="D25" i="3"/>
  <c r="D33" i="3"/>
  <c r="D31" i="3"/>
  <c r="H43" i="3"/>
  <c r="G43" i="3"/>
  <c r="D21" i="3"/>
  <c r="D19" i="3"/>
  <c r="D17" i="3"/>
  <c r="D13" i="3"/>
  <c r="D7" i="3"/>
</calcChain>
</file>

<file path=xl/sharedStrings.xml><?xml version="1.0" encoding="utf-8"?>
<sst xmlns="http://schemas.openxmlformats.org/spreadsheetml/2006/main" count="1884" uniqueCount="852">
  <si>
    <t>PLANILHA ORÇAMENTÁRIA DE CUSTOS</t>
  </si>
  <si>
    <t>(    )</t>
  </si>
  <si>
    <t>DIRETA</t>
  </si>
  <si>
    <t>(  x  )</t>
  </si>
  <si>
    <t>INDIRETA</t>
  </si>
  <si>
    <t>ITEM</t>
  </si>
  <si>
    <t>CÓDIGO</t>
  </si>
  <si>
    <t>DESCRIÇÃO</t>
  </si>
  <si>
    <t>UNIDADE</t>
  </si>
  <si>
    <t>QUANTIDADE</t>
  </si>
  <si>
    <t>PREÇO UNITÁRIO S/ LDI</t>
  </si>
  <si>
    <t>PREÇO UNITÁRIO C/ LDI</t>
  </si>
  <si>
    <t>PREÇO TOTAL</t>
  </si>
  <si>
    <t>IIO-001</t>
  </si>
  <si>
    <t>INSTALAÇÕES INICIAIS DA OBRA</t>
  </si>
  <si>
    <t>1.1</t>
  </si>
  <si>
    <t>2.2</t>
  </si>
  <si>
    <t>3.1</t>
  </si>
  <si>
    <t>M2</t>
  </si>
  <si>
    <t>4.1</t>
  </si>
  <si>
    <t>4.2</t>
  </si>
  <si>
    <t>TOTAL GERAL DA OBRA</t>
  </si>
  <si>
    <t>1.2</t>
  </si>
  <si>
    <t>2.1</t>
  </si>
  <si>
    <t>M3</t>
  </si>
  <si>
    <t>2.3</t>
  </si>
  <si>
    <t>M</t>
  </si>
  <si>
    <t>ANEXO I</t>
  </si>
  <si>
    <t>PROPONENTE: PREFEITURA MUNICIPAL DE CARVALHOS</t>
  </si>
  <si>
    <t>CONVÊNIO SES N°</t>
  </si>
  <si>
    <t>OBJETO: CONSTRUÇÃO DO CENTRO DE FISIOTERAPIA MUNICIPAL</t>
  </si>
  <si>
    <t>PRAZO DE EXECUÇÃO: 08 MESES</t>
  </si>
  <si>
    <t>FORMA DE EXECUÇÃO:</t>
  </si>
  <si>
    <t>1.3</t>
  </si>
  <si>
    <t>LOCAÇÃO DA OBRA (GABARITO)</t>
  </si>
  <si>
    <t>LIGAÇÃO PROVISÓRIA DE LUZ E FORÇA-PADRÃO PROVISÓRIO 30KVA</t>
  </si>
  <si>
    <t>1.4</t>
  </si>
  <si>
    <t>1.5</t>
  </si>
  <si>
    <t>1.6</t>
  </si>
  <si>
    <t>ACÓRDÃO N°2622/2013</t>
  </si>
  <si>
    <t>* ADMINISTRAÇÃOLOCAL</t>
  </si>
  <si>
    <t>%</t>
  </si>
  <si>
    <t>1.7</t>
  </si>
  <si>
    <t>MOB-002  - MOBILIZAÇÃO E DESMOBILIZAÇÃO DE OBRA - para obras executadas em centros urbanos ou próximos de centros urbanos - OBRAS ATÉ O VALOR DE 1.000.000,00</t>
  </si>
  <si>
    <t>TER-001</t>
  </si>
  <si>
    <t>ATERRO COMPACTADO MANUAL, COM SOQUETE</t>
  </si>
  <si>
    <t>APILOAMENTO DO FUNDO DE VALAS COM SOQUETE</t>
  </si>
  <si>
    <t>3.2</t>
  </si>
  <si>
    <t>CORTE, DOBRA E ARMAÇÃO DE AÇO CA-50/60</t>
  </si>
  <si>
    <t>KG</t>
  </si>
  <si>
    <t>3.3</t>
  </si>
  <si>
    <t>4.3</t>
  </si>
  <si>
    <t>4.4</t>
  </si>
  <si>
    <t>ALV-001</t>
  </si>
  <si>
    <t>ALVENARIAS E DIVISÕES</t>
  </si>
  <si>
    <t>5.1</t>
  </si>
  <si>
    <t>5.2</t>
  </si>
  <si>
    <t>5.3</t>
  </si>
  <si>
    <t>5.4</t>
  </si>
  <si>
    <t>DIVISÓRIA EM GRANITO CINZA ANDORINHA E = 3 CM, INCLUSIVE FERRAGENS EM LATÃO CROMADO</t>
  </si>
  <si>
    <t>COB-001</t>
  </si>
  <si>
    <t>COBERTURA E DRENAGEM PLUVIAL</t>
  </si>
  <si>
    <t>6.1</t>
  </si>
  <si>
    <t>ENGRADAMENTO PARA TELHADO EM FIBROCIMENTO ONDULADA</t>
  </si>
  <si>
    <t>6.2</t>
  </si>
  <si>
    <t>COBERTURA EM TELHA DE FIBROCIMENTO ONDULADA E = 6 MM</t>
  </si>
  <si>
    <t>6.3</t>
  </si>
  <si>
    <t>6.4</t>
  </si>
  <si>
    <t>IMPERMEABILIZAÇÃOCOM MANTA ASFÁLTICA PRÉ FABRICADA E = 4 MM</t>
  </si>
  <si>
    <t>6.5</t>
  </si>
  <si>
    <t>6.6</t>
  </si>
  <si>
    <t>6.7</t>
  </si>
  <si>
    <t>HID-001</t>
  </si>
  <si>
    <t>INSTALAÇÕES HIDROSSANITÁRIAS</t>
  </si>
  <si>
    <t>7.1</t>
  </si>
  <si>
    <t>7.2</t>
  </si>
  <si>
    <t>7.3</t>
  </si>
  <si>
    <t>7.4</t>
  </si>
  <si>
    <t>7.5</t>
  </si>
  <si>
    <t>7.6</t>
  </si>
  <si>
    <t>7.7</t>
  </si>
  <si>
    <t>7.8</t>
  </si>
  <si>
    <t>7.9</t>
  </si>
  <si>
    <t>7.10</t>
  </si>
  <si>
    <t>7.11</t>
  </si>
  <si>
    <t>7.12</t>
  </si>
  <si>
    <t>7.13</t>
  </si>
  <si>
    <t>CAIXA SIFONADA EM PVC COM GRELHA REDONDA 100 X 100 X 40 MM</t>
  </si>
  <si>
    <t>PÇ</t>
  </si>
  <si>
    <t>7.14</t>
  </si>
  <si>
    <t>RALO SIFONADO PVC CILINDRICO 100 X 70 X 40 MM COM GRELHA QUADRADA</t>
  </si>
  <si>
    <t>7.15</t>
  </si>
  <si>
    <t>7.16</t>
  </si>
  <si>
    <t>7.17</t>
  </si>
  <si>
    <t>7.18</t>
  </si>
  <si>
    <t>7.19</t>
  </si>
  <si>
    <t>7.20</t>
  </si>
  <si>
    <t>BANCADA EM GRANITO CINZA ANDORINHA E = 3 CM, APOIADA EM CONSOLE DE METALON 20 X 30 MM</t>
  </si>
  <si>
    <t>7.21</t>
  </si>
  <si>
    <t>7.22</t>
  </si>
  <si>
    <t>7.23</t>
  </si>
  <si>
    <t>7.24</t>
  </si>
  <si>
    <t>7.25</t>
  </si>
  <si>
    <t>7.26</t>
  </si>
  <si>
    <t>7.27</t>
  </si>
  <si>
    <t>ELE-001</t>
  </si>
  <si>
    <t>INSTALAÇÃO ELÉTRICA</t>
  </si>
  <si>
    <t>8.1</t>
  </si>
  <si>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</si>
  <si>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</si>
  <si>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</si>
  <si>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</si>
  <si>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</si>
  <si>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</si>
  <si>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</si>
  <si>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</si>
  <si>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</si>
  <si>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</si>
  <si>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</si>
  <si>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</si>
  <si>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</si>
  <si>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</si>
  <si>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</si>
  <si>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</si>
  <si>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</si>
  <si>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</si>
  <si>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</si>
  <si>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</si>
  <si>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</si>
  <si>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</si>
  <si>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</si>
  <si>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</si>
  <si>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</si>
  <si>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</si>
  <si>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</si>
  <si>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</si>
  <si>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</si>
  <si>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</si>
  <si>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</si>
  <si>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DISJUNTOR MONOPOLAR TERMOMAGNÉTICO 5KA, DE 15A</t>
  </si>
  <si>
    <t>DISJUNTOR MONOPOLAR TERMOMAGNÉTICO 5KA, DE 20A</t>
  </si>
  <si>
    <t>DISJUNTOR BIPOLAR TERMOMAGNÉTICO 10KA, DE 30A</t>
  </si>
  <si>
    <t>DISJUNTOR BIPOLAR TERMOMAGNÉTICO 10KA, DE 70A</t>
  </si>
  <si>
    <t>INTERRUPTOR UMA TECLA SIMPLES 10 A - 250 V, COM PLACA</t>
  </si>
  <si>
    <t>CONJUNTO 2 INTERRUPTORES SIMPLES COM PLACA</t>
  </si>
  <si>
    <t>CONJUNTO 1 INTERRUPTOR SIMPLES + 1 INTERRUPTOR PARALELO, COM PLACA</t>
  </si>
  <si>
    <t>INTERRUPTOR, TRÊS TECLAS SIMPLES 10 A - 250 V</t>
  </si>
  <si>
    <t>CHUVEIRO-ELÉTRICO CROMADO 1/2"</t>
  </si>
  <si>
    <t>TOMADA SIMPLES - 2P + T - 20A COM PLACA</t>
  </si>
  <si>
    <t xml:space="preserve">TOMADA DUPLA - 2P + T -20A COM PLACA </t>
  </si>
  <si>
    <t>CJ.</t>
  </si>
  <si>
    <t>ESQ-001</t>
  </si>
  <si>
    <t>ESQUADRIA DE MADEIRA</t>
  </si>
  <si>
    <t>9.1</t>
  </si>
  <si>
    <t>SER-001</t>
  </si>
  <si>
    <t>SERRALHERIA</t>
  </si>
  <si>
    <t>10.1</t>
  </si>
  <si>
    <t>10.2</t>
  </si>
  <si>
    <t>10.3</t>
  </si>
  <si>
    <t>ALÇAPÃO 60 X 60 CM COM QUADRO DE CANTONEIRA METÁLICA 1" X 1/8", TAMPA EM CANTONEIRA 7/8" X 1/8" E CHAPA METÁLICA ENRIJECIDA POR PERFIL T</t>
  </si>
  <si>
    <t>REV-001</t>
  </si>
  <si>
    <t>REVESTIMENTO</t>
  </si>
  <si>
    <t>11.1</t>
  </si>
  <si>
    <t>11.2</t>
  </si>
  <si>
    <t>11.3</t>
  </si>
  <si>
    <t>PIS-001/SOL-001</t>
  </si>
  <si>
    <t>12.1</t>
  </si>
  <si>
    <t>LAJE DE TRANSIÇÃO E = 5 CM, SEM JUNTA, FCK = 10 MPA (MANUAL)</t>
  </si>
  <si>
    <t>12.2</t>
  </si>
  <si>
    <t>12.3</t>
  </si>
  <si>
    <t>12.4</t>
  </si>
  <si>
    <t>12.5</t>
  </si>
  <si>
    <t>12.6</t>
  </si>
  <si>
    <t>PIN-001</t>
  </si>
  <si>
    <t>PINTURA</t>
  </si>
  <si>
    <t>13.1</t>
  </si>
  <si>
    <t>13.2</t>
  </si>
  <si>
    <t>13.3</t>
  </si>
  <si>
    <t>13.4</t>
  </si>
  <si>
    <t>13.5</t>
  </si>
  <si>
    <t>14.1</t>
  </si>
  <si>
    <t>14.2</t>
  </si>
  <si>
    <t>ESPELHO (40 X 60) CM, E = 4 MM, COLOCADO COM PARAFUSO FINESSON</t>
  </si>
  <si>
    <t>ACE-001</t>
  </si>
  <si>
    <t>15.1</t>
  </si>
  <si>
    <t>15.2</t>
  </si>
  <si>
    <t>15.3</t>
  </si>
  <si>
    <t>15.4</t>
  </si>
  <si>
    <t>15.5</t>
  </si>
  <si>
    <t>15.6</t>
  </si>
  <si>
    <t>15.7</t>
  </si>
  <si>
    <t>ASSENTO BRANCO PARA VASO</t>
  </si>
  <si>
    <t>PAPELEIRA METÁLICA CROMADA, INCLUSIVE FIXAÇÃO</t>
  </si>
  <si>
    <t>CABIDE METÁLICO SIMPLES CROMADO, INCLUSIVE FIXAÇÃO</t>
  </si>
  <si>
    <t>INC-001</t>
  </si>
  <si>
    <t>PREVENÇÃO E COMBATE A INCÊNDIO</t>
  </si>
  <si>
    <t>16.1</t>
  </si>
  <si>
    <t>16.2</t>
  </si>
  <si>
    <t>16.3</t>
  </si>
  <si>
    <t>16.4</t>
  </si>
  <si>
    <t>BASE DECORATIVA PARA EXTINTORES</t>
  </si>
  <si>
    <t>LUMINÁRIA DE EMERGÊNCIA AUTÔNOMA IE-16 COM LÂMPADA DE 8 W</t>
  </si>
  <si>
    <t>LIM-001</t>
  </si>
  <si>
    <t>LIMPEZA GERAL</t>
  </si>
  <si>
    <t>17.1</t>
  </si>
  <si>
    <t>ESCAVAÇÃOMANUAL DE VALAS H &lt;=1,50 M</t>
  </si>
  <si>
    <t>TERRAPLENAGEM/TRABALHOS EM TERRA</t>
  </si>
  <si>
    <t>PORTA EM MADEIRA DE LEI ESPECIAL 90 X 210 CM, PARA PINTURA, PARA P.N.E., COM PROTEÇÃO INFERIOR EM LAMINADO MELAMÍNICO, INCLUSIVE FERRAGENS E MAÇANETA TIPO ALAVANCA (P2)</t>
  </si>
  <si>
    <t>EXTINTOR DE INCÊNDIO TIPO PÓ QUÍMICO 2-A:20-B:C, CAPACIDADE 6 KG</t>
  </si>
  <si>
    <t xml:space="preserve">LASTRO DE CONCRETO MAGRO, INCLUSIVE TRANSPORTE, LANÇAMENTO E ADENSAMENTO </t>
  </si>
  <si>
    <t>FORNECIMENTO DE CONCRETO ESTRUTURAL, PREPARADO EM OBRA COM BETONEIRA, COM FCK 20 MPA, INCLUSIVE LANÇAMENTO, ADENSAMENTO E ACABAMENTO (FUNDAÇÃO)</t>
  </si>
  <si>
    <t>FORMA E DESFORMA DE TÁBUA E SARRAFO, REAPROVEITAMENTO (3X), EXCLUSIVE ESCORAMENTO</t>
  </si>
  <si>
    <t>FORNECIMENTO DE CONCRETO ESTRUTURAL, PREPARADO EM OBRA, COM FCK 20 MPA, INCLUSIVE LANÇAMENTO, ADENSAMENTO E ACABAMENTO</t>
  </si>
  <si>
    <t>LAJE PRÉ-MOLDADA, A REVESTIR, INCLUSIVE CAPEAMENTO E = 4 CM, SC = 200 KG/M2, L = 4,00 M</t>
  </si>
  <si>
    <t>CAMADA DE REGULARIZAÇÃO COM ARGAMASSA, TRAÇO 1:3 (CIMENTO E AREIA), ESP. 30MM, APLICAÇÃO MANUAL, PREPARO MECÂNICO</t>
  </si>
  <si>
    <t>PROTEÇÃO MECÂNICA COM ARGAMASSA, TRAÇO 1:3 (CIMENTO E AREIA), ESP. 15MM, APLICAÇÃO MANUAL, PREPARO MECÂNICO</t>
  </si>
  <si>
    <t>FORNECIMENTO E ASSENTAMENTO DE TUBO PVC RÍGIDO, DRENAGEM/PLUVIAL, PBV - SÉRIE NORMAL, DN 100 MM (4"), INCLUSIVE CONEXÕES</t>
  </si>
  <si>
    <t>CAIXA DE DRENAGEM DE INSPEÇÃO/PASSAGEM EM ALVENARIA (40X40X60CM), REVESTIMENTO EM ARGAMASSA COM ADITIVO IMPERMEABILIZANTE, COM TAMPA EM GRELHA, INCLUSIVE ESCAVAÇÃO, REATERRO E TRANSPORTE E RETIRADA DO MATERIAL ESCAVADO (EM CAÇAMBA)</t>
  </si>
  <si>
    <t>FORNECIMENTO E ASSENTAMENTO DE TUBO PVC RÍGIDO SOLDÁVEL, ÁGUA FRIA, DN 32 MM (1") , INCLUSIVE CONEXÕES</t>
  </si>
  <si>
    <t>REGISTRO DE GAVETA, TIPO BASE,  ROSCÁVEL 3/4" (PARA TUBO SOLDÁVEL OU PPR DN 25MM/CPVC DN 22MM), INCLUSIVE ACABAMENTO (PADRÃO MÉDIO) E CANOPLA CROMADO</t>
  </si>
  <si>
    <t>REGISTRO DE PRESSÃO, TIPO BASE,  ROSCÁVEL 3/4" (PARA TUBO SOLDÁVEL OU PPR DN 25MM/CPVC DN 22MM), INCLUSIVE ACABAMENTO (PADRÃO MÉDIO) E CANOPLA CROMADOS</t>
  </si>
  <si>
    <t>CAIXA D´ÁGUA DE POLIETILENO, CAPACIDADE DE 1.500L, INCLUSIVE TAMPA, TORNEIRA DE BOIA, EXTRAVASOR, TUBO DE LIMPEZA E ACESSÓRIOS, EXCLUSIVE TUBULAÇÃO DE ENTRADA/SAÍDA DE ÁGUA</t>
  </si>
  <si>
    <t>FORNECIMENTO E ASSENTAMENTO DE TUBO PVC RÍGIDO, ESGOTO, PBV - SÉRIE NORMAL, DN 100 MM (4"), INCLUSIVE CONEXÕES</t>
  </si>
  <si>
    <t>CAIXA DE ESGOTO DE INSPEÇÃO/PASSAGEM EM ALVENARIA (40X40X60CM), REVESTIMENTO EM ARGAMASSA COM ADITIVO IMPERMEABILIZANTE, COM TAMPA DE CONCRETO, INCLUSIVE ESCAVAÇÃO, REATERRO E TRANSPORTE E RETIRADA DO MATERIAL ESCAVADO (EM CAÇAMBA)</t>
  </si>
  <si>
    <t>BACIA SANITÁRIA (VASO) DE LOUÇA COM CAIXA ACOPLADA, COR BRANCA, INCLUSIVE ACESSÓRIOS DE FIXAÇÃO/VEDAÇÃO, ENGATE FLEXÍVEL METÁLICO, FORNECIMENTO, INSTALAÇÃO E REJUNTAMENTO</t>
  </si>
  <si>
    <t>TORNEIRA METÁLICA PARA LAVATÓRIO, ACABAMENTO CROMADO, COM AREJADOR, APLICAÇÃO DE MESA, INCLUSIVE ENGATE FLEXÍVEL METÁLICO, FORNECIMENTO E INSTALAÇÃO</t>
  </si>
  <si>
    <t>CUBA EM AÇO INOXIDÁVEL DE EMBUTIR, AISI 304, APLICAÇÃO PARA PIA (465X330X115MM), NÚMERO 1, ASSENTAMENTO EM BANCADA, INCLUSIVE VÁLVULA DE ESCOAMENTO DE METAL COM ACABAMENTO CROMADO, SIFÃO DE METAL TIPO COPO COM ACABAMENTO CROMADO, FORNECIMENTO E INSTALAÇÃO</t>
  </si>
  <si>
    <t>TORNEIRA METÁLICA PARA PIA, BICA MÓVEL, ACABAMENTO CROMADO 1/2", COM AREJADOR, APLICAÇÃO DE MESA, INCLUSIVE ENGATE FLEXÍVEL METÁLICO, FORNECIMENTO E INSTALAÇÃO</t>
  </si>
  <si>
    <t>TANQUE DE LOUÇA BRANCA COM COLUNA, CAPACIDADE 22 LITROS, INCLUSIVE ACESSÓRIOS DE FIXAÇÃO, VÁLVULA DE ESCOAMENTO DE METAL COM ACABAMENTO CROMADO, SIFÃO DE METAL TIPO COPO COM ACABAMENTO CROMADO, FORNECIMENTO, INSTALAÇÃO E REJUNTAMENTO, EXCLUSIVE TORNEIRA</t>
  </si>
  <si>
    <t>TORNEIRA METÁLICA PARA TANQUE, ACABAMENTO CROMADO, INCLUSIVE ENGATE FLEXÍVEL METÁLICO, FORNECIMENTO E INSTALAÇÃO</t>
  </si>
  <si>
    <t>TORNEIRA METÁLICA PARA IRRIGAÇÃO/JARDIM, ACABAMENTO CROMADO, APLICAÇÃO DE PAREDE, INCLUSIVE FORNECIMENTO E INSTALAÇÃO D = 1/2"</t>
  </si>
  <si>
    <t>CAIXA PRÉ MOLDADA PARA ATERRAMENTO COM TAMPA DE CONCRETO 25 X 25 X 50 CM, INCLUSIVE ESCAVAÇÃO E BOTA FORA</t>
  </si>
  <si>
    <t>HASTE DE AÇO COBREADA PARA ATERRAMENTO DIÂMETRO 3/4"X 2400 MM,CONFORME PADRÕES TELEBRÁS</t>
  </si>
  <si>
    <t>CONJUNTO 2 INTERRUPTORES SIMPLES + 1 TOMADA 2P UNIVERSAL RETANGULAR SEM PLACA</t>
  </si>
  <si>
    <t>ELETRODUTO FLEXÍVEL CORRUGADO, PVC, ANTI-CHAMA, DN 20MM (1/2"), APLICADO EM ALVENARIA, INCLUSIVE RASGO</t>
  </si>
  <si>
    <t>CABO DE COBRE NÚ # 16 MM2, ENTERRADO, EXCLUSIVE ESCAVAÇÃO E REATERRO</t>
  </si>
  <si>
    <t>INTERRUPTOR, UMA TECLA PARALELO 10 A - 250 V, SEM PLACA</t>
  </si>
  <si>
    <t>LUMINÁRIA TIPO DROPS COM BASE SUPORTE GALVANIZADA E GLOBO LEITOSO, PARA UMA (1) LÂMPADA BASE E-27, FORNECIMENTO E INSTALAÇÃO, EXCLUSIVE BASE E LÂMPADA</t>
  </si>
  <si>
    <t>TOMADA PARA TELEFONE, PADRÃO TELEBRÁS 4P SEM PLACA</t>
  </si>
  <si>
    <t>CHAPISCO COM ARGAMASSA, TRAÇO 1:3 (CIMENTO E AREIA), ESP. 5MM, APLICADO EM ALVENARIA/ESTRUTURA DE CONCRETO COM COLHER, PREPARO MECÂNICO</t>
  </si>
  <si>
    <t>EMBOÇO COM ARGAMASSA, TRAÇO 1:6 (CIMENTO E AREIA), ESP. 20MM, APLICAÇÃO MANUAL, PREPARO MECÂNICO</t>
  </si>
  <si>
    <t>CONTRAPISO DESEMPENADO COM ARGAMASSA, TRAÇO 1:3 (CIMENTO E AREIA), ESP. 30MM</t>
  </si>
  <si>
    <t>REVESTIMENTO COM CERÂMICA APLICADO EM PISO, ACABAMENTO ESMALTADO, AMBIENTE INTERNO, PADRÃO EXTRA, DIMENSÃO DA PEÇA ATÉ 2025 CM2, PEI V, ASSENTAMENTO COM ARGAMASSA INDUSTRIALIZADA, INCLUSIVE REJUNTAMENTO</t>
  </si>
  <si>
    <t>PISO CIMENTADO COM ARGAMASSA, TRAÇO 1:3 (CIMENTO E AREIA), ESP. 30MM, ACABAMENTO DESEMPENADO E FELTRADO, MODULAÇÃO DE 200X200CM, INCLUSIVE JUNTA PLÁSTICA</t>
  </si>
  <si>
    <t>RODAPÉ COM REVESTIMENTO EM CERÂMICA ESMALTADA COMERCIAL, ALTURA 10CM, PEI IV, ASSENTAMENTO COM ARGAMASSA INDUSTRIALIZADA, INCLUSIVE REJUNTAMENTO</t>
  </si>
  <si>
    <t>PREPARAÇÃO PARA EMASSAMENTO OU PINTURA (LÁTEX/ACRÍLICA) EM PAREDE, INCLUSIVE UMA (1) DEMÃO DE SELADOR ACRÍLICO</t>
  </si>
  <si>
    <t>PINTURA ACRÍLICA EM PAREDE, DUAS (2) DEMÃOS, EXCLUSIVE SELADOR ACRÍLICO E MASSA ACRÍLICA/CORRIDA (PVA)</t>
  </si>
  <si>
    <t>EMASSAMENTO EM ESQUADRIA DE MADEIRA COM MASSA A ÓLEO, DUAS (2) DEMÃOS, INCLUSIVE LIXAMENTO PARA PINTURA  A ÓLEO OU ESMALTE</t>
  </si>
  <si>
    <t>PINTURA ESMALTE EM ESQUADRIA DE MADEIRA, DUAS (2) DEMÃOS, INCLUSIVE UMA (1) DEMÃO DE FUNDO NIVELADOR, EXCLUSIVE MASSA A ÓLEO</t>
  </si>
  <si>
    <t>PINTURA ESMALTE EM ESQUADRIAS DE FERRO, DUAS (2) DEMÃOS, INCLUSIVE UMA (1) DEMÃO DE FUNDO ANTICORROSIVO</t>
  </si>
  <si>
    <t>BARRA DE APOIO EM AÇO INOX POLIDO RETA, DN 1.1/4" (31,75MM), PARA ACESSIBILIDADE (PMR/PCR), COMPRIMENTO 80CM, INSTALADO EM PAREDE, INCLUSIVE FORNECIMENTO, INSTALAÇÃO E ACESSÓRIOS PARA FIXAÇÃO</t>
  </si>
  <si>
    <t>BARRA DE APOIO EM AÇO INOX POLIDO RETA, DN 1.1/4" (31,75MM), PARA ACESSIBILIDADE (PMR/PCR), COMPRIMENTO 90CM, INSTALADO EM PAREDE, INCLUSIVE FORNECIMENTO, INSTALAÇÃO E ACESSÓRIOS PARA FIXAÇÃO</t>
  </si>
  <si>
    <t>BARRA DE APOIO EM AÇO INOX POLIDO RETA, DN 1.1/4" (31,75MM), PARA ACESSIBILIDADE (PMR/PCR), COMPRIMENTO 40CM, INSTALADO EM PORTA/PAREDE, INCLUSIVE FORNECIMENTO, INSTALAÇÃO E ACESSÓRIOS PARA FIXAÇÃO</t>
  </si>
  <si>
    <t>DISPENSER PARA GEL/ÁLCOOL COM RESERVATORIO 800 ML</t>
  </si>
  <si>
    <t>LIMPEZA FINAL PARA ENTREGA DA OBRA</t>
  </si>
  <si>
    <t>FORNECIMENTO E COLOCAÇÃO DE PLACA DE OBRA EM CHAPA GALVANIZADA (3,00 X 1,5 0 M) - EM CHAPA GALVANIZADA 0,26 AFIXADAS COM REBITES 540 E PARAFUSOS 3/8, EM ESTRUTURA METÁLICA VIGA U 2" ENRIJECIDA COM METALON 20 X 20, SUPORTE EM EUCALIPTO AUTOCLAVADO PINTADAS</t>
  </si>
  <si>
    <t>BARRACÃO DE OBRA PARA DEPÓSITO E FERRAMENTARIA TIPO-I, ÁREA INTERNA 14,52M2, EM CHAPA DE COMPENSADO RESINADO, INCLUSIVE MOBILIÁRIO (OBRA DE PEQUENO PORTE, EFETIVO ATÉ 30 HOMENS), PADRÃO DER-MG</t>
  </si>
  <si>
    <t>MEMORIA DE CALCULO</t>
  </si>
  <si>
    <t>UNID.</t>
  </si>
  <si>
    <t>QUANT.</t>
  </si>
  <si>
    <t>FÓRMULA/MEMÓRIA</t>
  </si>
  <si>
    <t>Carimbo e assinatura do engenheiro responsável técnico pela elaboração da planilha</t>
  </si>
  <si>
    <t>Carimbo e assinatura do prefeito</t>
  </si>
  <si>
    <t xml:space="preserve">A N E X O   I I </t>
  </si>
  <si>
    <t>CRONOGRAMA FÍSICO-FINANCEIRO</t>
  </si>
  <si>
    <t>VALOR :</t>
  </si>
  <si>
    <t>ETAPAS/DESCRIÇÃO</t>
  </si>
  <si>
    <t>FÍSICO/ FINANCEIRO</t>
  </si>
  <si>
    <t>TOTAL  ETAPAS</t>
  </si>
  <si>
    <t>MÊS 1</t>
  </si>
  <si>
    <t>MÊS 2</t>
  </si>
  <si>
    <t>Físico %</t>
  </si>
  <si>
    <t>Financeiro</t>
  </si>
  <si>
    <t>TOTAL</t>
  </si>
  <si>
    <r>
      <rPr>
        <b/>
        <sz val="10"/>
        <rFont val="Arial"/>
        <family val="2"/>
      </rPr>
      <t>PRAZO DA OBRA:</t>
    </r>
    <r>
      <rPr>
        <sz val="10"/>
        <color rgb="FF000000"/>
        <rFont val="Arial"/>
      </rPr>
      <t xml:space="preserve"> 8 Meses</t>
    </r>
  </si>
  <si>
    <t>MÊS 3</t>
  </si>
  <si>
    <t>MÊS 4</t>
  </si>
  <si>
    <t>MÊS 5</t>
  </si>
  <si>
    <t>MÊS 6</t>
  </si>
  <si>
    <t>MÊS 7</t>
  </si>
  <si>
    <t>MÊS 8</t>
  </si>
  <si>
    <t>(IIO-LIG-005 )LIGAÇÃO DE ÁGUA PROVISÓRIA PARA CANTEIRO,  INCLUSIVE HIDRÔMETRO E CAVALETE PARA MEDIÇÃO DE ÁGUA - ENTRADA PRINCIPAL, EM AÇO GALVANIZADO DN 20MM (1/2") - PADRÃO CONCESSIONÁRIA</t>
  </si>
  <si>
    <t>LIGAÇÃO DE ÁGUA PROVISÓRIA PARA CANTEIRO,  INCLUSIVE HIDRÔMETRO E CAVALETE PARA MEDIÇÃO DE ÁGUA - ENTRADA PRINCIPAL, EM AÇO GALVANIZADO DN 20MM (1/2") - PADRÃO CONCESSIONÁRIA</t>
  </si>
  <si>
    <t>FORNECIMENTO E ASSENTAMENTO DE JANELA DE ALUMÍNIO, LINHA SUPREMA ACABAMENTO ANODIZADO, TIPO BASCULA COM CONTRAMARCO, INCLUSIVE FORNECIMENTO DE VIDRO LISO DE 4MM, FERRAGENS E ACESSÓRIOS</t>
  </si>
  <si>
    <t>FORNECIMENTO E ASSENTAMENTO DE JANELA DE ALUMÍNIO, LINHA SUPREMA ACABAMENTO ANODIZADO, TIPO CORRER COM CONTRAMARCO, INCLUSIVE FORNECIMENTO DE VIDRO LISO DE 4MM, FERRAGENS E ACESSÓRIOS</t>
  </si>
  <si>
    <t xml:space="preserve">1,00 + 1,00 + 1,00 + 1,00 + 1,00 + 1,00 + 1,00 &gt;I.S. PNE  + I.S. FEM. + I.S + I.S.MAS. + VEST. + VEST.MASC. + VEST.FEM. </t>
  </si>
  <si>
    <t>1,00 &gt; UNIDADE</t>
  </si>
  <si>
    <t>193,30 &gt; ÁREA DA CONSTRUÇÃO</t>
  </si>
  <si>
    <t xml:space="preserve">193,30 &gt; ÁREA DA CONSTRUÇÃO </t>
  </si>
  <si>
    <t>1,00 + 1,00 + 1,00 + 1,00 + 1,00 + 1,00 + 1,00 + 1,00 + 1,00 + 1,00 + 1,00 + 1,00 + 1,00 + 1,00 &gt;I.S. PNE  + I.S. FEM. + I.S + I.S.MAS. + VEST. + VEST.MASC. + VEST.FEM. +CONSULTÓRIO + SALA CINESIOTERAPIA E MECANOTERAPIA + SALA DE TERAPIA 1 + CPA + DML</t>
  </si>
  <si>
    <t xml:space="preserve">1,00 + 1,00 + 1,00 + 1,00 + 1,00 + 1,00 + 1,00 + 1,00 + 1,00 + 1,00 + 1,00 + 1,00 + 1,00 + 1,00 + 2,00 &gt;I.S. PNE  + I.S. FEM. + I.S + I.S.MAS. + VEST. + VEST.MASC. + VEST.FEM. +CONSULTÓRIO + SALA CINESIOTERAPIA E MECANOTERAPIA + SALA DE TERAPIA 1 + CPA + DML + RECEPÇÃO </t>
  </si>
  <si>
    <t>ANEXO III - ANEXO À MEMORIAL DE CÁLCULO</t>
  </si>
  <si>
    <t>COMP. (M)</t>
  </si>
  <si>
    <t>PORTAS E JANELAS (SUBTRAIR) dimensão e quantidade</t>
  </si>
  <si>
    <t xml:space="preserve">COMP (M) </t>
  </si>
  <si>
    <t>ALTURA / LARGURA (M)</t>
  </si>
  <si>
    <t>LADOS</t>
  </si>
  <si>
    <t>CHAPISCO (M2)</t>
  </si>
  <si>
    <t>REVESTIMENTO CERÂMICO (M2)</t>
  </si>
  <si>
    <t>PINTURA  TETO (M2)</t>
  </si>
  <si>
    <t xml:space="preserve">PARTE EXTERNA </t>
  </si>
  <si>
    <t xml:space="preserve">RECEPÇÃO </t>
  </si>
  <si>
    <t>0,80 x 2,10</t>
  </si>
  <si>
    <t>CONSULTÓRIO</t>
  </si>
  <si>
    <t>I.S.</t>
  </si>
  <si>
    <t>HALL</t>
  </si>
  <si>
    <t xml:space="preserve">I.S. PNE </t>
  </si>
  <si>
    <t>I.S. FEM</t>
  </si>
  <si>
    <t>I.S. MAS</t>
  </si>
  <si>
    <t>CIRCULAÇÃO</t>
  </si>
  <si>
    <t>SALA DE CINESIOTERAPA E MECANOTERAPIA</t>
  </si>
  <si>
    <t>TOTAL DE REVESTIMENTOS DE PAREDE</t>
  </si>
  <si>
    <t xml:space="preserve">ALTURA RODAPÉ (M) </t>
  </si>
  <si>
    <t>ESQUADRIAS (SUBTRAIR) dimensão e quantidade</t>
  </si>
  <si>
    <t>0,90 x 2,10</t>
  </si>
  <si>
    <t>0,70 x 2,00</t>
  </si>
  <si>
    <t>2,40  x 2,15</t>
  </si>
  <si>
    <t>2,40 x 0,60</t>
  </si>
  <si>
    <t>1,50 x 1,20</t>
  </si>
  <si>
    <t>1,00 x 0,50</t>
  </si>
  <si>
    <t>PINTURA PAREDE (M2)</t>
  </si>
  <si>
    <t>EMBOÇO (M2)</t>
  </si>
  <si>
    <t>1,50 x 0,50</t>
  </si>
  <si>
    <t>2,00 x 0,50</t>
  </si>
  <si>
    <t>COPA</t>
  </si>
  <si>
    <t>DML</t>
  </si>
  <si>
    <t>VEST.MASC.</t>
  </si>
  <si>
    <t>VEST.FEM.</t>
  </si>
  <si>
    <t>A.SERV.</t>
  </si>
  <si>
    <t>SALA TERAPIA 1</t>
  </si>
  <si>
    <t>2,00 x 1,20</t>
  </si>
  <si>
    <t>VEST.</t>
  </si>
  <si>
    <t xml:space="preserve">100 x 50 </t>
  </si>
  <si>
    <t>2,40 x 2,15</t>
  </si>
  <si>
    <t xml:space="preserve">REVESTIMENTOS DE PAREDES E TETOS </t>
  </si>
  <si>
    <t xml:space="preserve">DADOS RETIRADOS DO ANEXO III A MEMORIA DE CALCULO </t>
  </si>
  <si>
    <t xml:space="preserve">PREPARAÇÃO PARA EMASSAMENTO OU PINTURA (LÁTEX/ACRÍLICA) EM TETO, INCLUSIVE UMA (1) DEMÃO DE SELADOR ACRÍLICO </t>
  </si>
  <si>
    <t>PINTURA ACRÍLICA EM TETO, DUAS (2) DEMÃOS, EXCLUSIVE SELADOR ACRÍLICO E MASSA ACRÍLICA/CORRIDA (PVA)</t>
  </si>
  <si>
    <t>13.6</t>
  </si>
  <si>
    <t>13.7</t>
  </si>
  <si>
    <t xml:space="preserve">SOMATORIO DE ÁREA  PAREDE E TETO CONFORME DADOS NO ANEXO III A MEMORIA DE CALCULO </t>
  </si>
  <si>
    <t xml:space="preserve">SOMATÓRIO PAREDES E TETO </t>
  </si>
  <si>
    <t>LAJE E CONTRAPISO (M2)</t>
  </si>
  <si>
    <t xml:space="preserve"> RODAPÉ (M2)</t>
  </si>
  <si>
    <t>PISO CIMENTADO (M2)</t>
  </si>
  <si>
    <t xml:space="preserve">REVESTIMENTOS DE PISO </t>
  </si>
  <si>
    <t xml:space="preserve">VALOR TOTAL </t>
  </si>
  <si>
    <t>0,90 x0,20 x 4,00 + 0,80 x 0,20 x 9,00 &gt; P1 + P2 &gt; COMP. X LARG. X QUANT.</t>
  </si>
  <si>
    <t xml:space="preserve">2,00 &gt; UNIDADES LOCADAS DE ACORDO COM O PROJETO </t>
  </si>
  <si>
    <t>2,00 &gt; UNIDADES</t>
  </si>
  <si>
    <t>TORNEIRA DE BOIA, TIPO ROSCÁVEL 1/2", EXCLUSIVE ADAPTADOR SOLDÁVEL DE PVC COM FLANGES E ANEL PARA CAIXA DÁGUA</t>
  </si>
  <si>
    <t xml:space="preserve">1,00 +1,00 &gt; COLOCADA NAS CAIXA D'ÁGUA </t>
  </si>
  <si>
    <t>1,00 &gt;  UNIDADE</t>
  </si>
  <si>
    <t>1,00 &gt; COPA</t>
  </si>
  <si>
    <t xml:space="preserve">1,00 &gt; UNIDADE EXTERNA </t>
  </si>
  <si>
    <t>1,00 &gt; DML</t>
  </si>
  <si>
    <t xml:space="preserve">1,00 &gt; A. SERV. </t>
  </si>
  <si>
    <t xml:space="preserve">1,00 + 1,00 &gt; DML + A. SERV. </t>
  </si>
  <si>
    <t xml:space="preserve"> 2,00 x 4,50 &gt; Nº DE TUBOS X COMP.</t>
  </si>
  <si>
    <t xml:space="preserve">DADOS RETIRADOS EM DOCUMENTO ANEXO </t>
  </si>
  <si>
    <t xml:space="preserve">(2,20 x 2,00 x 2,00) + ((1,20 x 2,00) - (0,55 x 2,00 )) + ((((1,00 + 1,00) x 2,00) - (0,55 x 2,00)) x 2,00) &gt; COMP. X ALT. X QUANT. - ESQUADRIAS </t>
  </si>
  <si>
    <t>5.5</t>
  </si>
  <si>
    <t>ALVENARIA DE VEDAÇÃO COM TIJOLO CERÂMICO FURADO, ESP.14CM, PARA REVESTIMENTO, INCLUSIVE ARGAMASSA PARA ASSENTAMENTO</t>
  </si>
  <si>
    <t>ALVENARIA DE 15CM (M2)</t>
  </si>
  <si>
    <t>ALVENARIA DE 20CM (M2)</t>
  </si>
  <si>
    <t>ALVENARIA DE VEDAÇÃO COM TIJOLO CERÂMICO FURADO, ESP.19CM, PARA REVESTIMENTO, INCLUSIVE ARGAMASSA PARA ASSENTAMENTO</t>
  </si>
  <si>
    <t>LARG (M)</t>
  </si>
  <si>
    <t>COMP (M)</t>
  </si>
  <si>
    <t>ALT (M)</t>
  </si>
  <si>
    <t>ESCAVAÇÃO MANUAL(m3)</t>
  </si>
  <si>
    <t>LASTRO
(m3)</t>
  </si>
  <si>
    <t>FORMA
(m2)</t>
  </si>
  <si>
    <t>P1 ao P6 / P12 / P22 ao P25 / P31 / P34 ao P36</t>
  </si>
  <si>
    <t xml:space="preserve">P8 / P9 / P11 / P18 / P21 / P32 </t>
  </si>
  <si>
    <t xml:space="preserve">P10 / P16 / P30 / P33 </t>
  </si>
  <si>
    <t xml:space="preserve">P15 </t>
  </si>
  <si>
    <t xml:space="preserve">P17 / P19 / P27 </t>
  </si>
  <si>
    <t xml:space="preserve">P20 / P26 </t>
  </si>
  <si>
    <t>P28</t>
  </si>
  <si>
    <t>P29</t>
  </si>
  <si>
    <t xml:space="preserve">VIGA BALDRAME </t>
  </si>
  <si>
    <t>VALOR TOTAL</t>
  </si>
  <si>
    <t>(ÍTEM 12.1) 229,54*0,25*1,25</t>
  </si>
  <si>
    <t>V101</t>
  </si>
  <si>
    <t>V102</t>
  </si>
  <si>
    <t>V103</t>
  </si>
  <si>
    <t>V104</t>
  </si>
  <si>
    <t>V105</t>
  </si>
  <si>
    <t>V106</t>
  </si>
  <si>
    <t>V107</t>
  </si>
  <si>
    <t>V108</t>
  </si>
  <si>
    <t>V109</t>
  </si>
  <si>
    <t>V110</t>
  </si>
  <si>
    <t>V111</t>
  </si>
  <si>
    <t>V112</t>
  </si>
  <si>
    <t>V113</t>
  </si>
  <si>
    <t>V114</t>
  </si>
  <si>
    <t>V115</t>
  </si>
  <si>
    <t>V116</t>
  </si>
  <si>
    <t>V117</t>
  </si>
  <si>
    <t>V118</t>
  </si>
  <si>
    <t>V119</t>
  </si>
  <si>
    <t>V120</t>
  </si>
  <si>
    <t>V121</t>
  </si>
  <si>
    <t>V122</t>
  </si>
  <si>
    <t>V123</t>
  </si>
  <si>
    <t>V124</t>
  </si>
  <si>
    <t>V125</t>
  </si>
  <si>
    <t>V126</t>
  </si>
  <si>
    <t>V127</t>
  </si>
  <si>
    <t>V128</t>
  </si>
  <si>
    <t>V129</t>
  </si>
  <si>
    <t>V130</t>
  </si>
  <si>
    <t>V131</t>
  </si>
  <si>
    <t>V132</t>
  </si>
  <si>
    <t>V133</t>
  </si>
  <si>
    <t>V134</t>
  </si>
  <si>
    <t>ESCAVAÇÃO MANUAL DE VALAS H &lt;=1,50 M</t>
  </si>
  <si>
    <t>ESCAVAÇÃO MANUAL (m3)</t>
  </si>
  <si>
    <t>APILOAMENTO
(m2)</t>
  </si>
  <si>
    <t>(SAPATAS) E QUANTIDADES DA OBRA (BALDRAME)= (0,70*0,70*15)+(0,80*0,80*10)+(0,90*0,90*7)+(1,00*1,00*1)+ 26,47</t>
  </si>
  <si>
    <t>CONFORME ANEXO A MC = 2,04 + 1,32</t>
  </si>
  <si>
    <t>CONFORME ANEXO A MC = 8,17 + 7,20</t>
  </si>
  <si>
    <r>
      <t xml:space="preserve">AÇO - CA60 (KG) </t>
    </r>
    <r>
      <rPr>
        <b/>
        <sz val="10"/>
        <rFont val="Arial"/>
        <family val="2"/>
      </rPr>
      <t>(CONFORME PROJ. ESTRUTURAL)</t>
    </r>
  </si>
  <si>
    <r>
      <t xml:space="preserve">AÇO - CA50 (KG) </t>
    </r>
    <r>
      <rPr>
        <b/>
        <sz val="10"/>
        <rFont val="Arial"/>
        <family val="2"/>
      </rPr>
      <t>(CONFORME PROJ. ESTRUTURAL)</t>
    </r>
  </si>
  <si>
    <t>57,7 + 
100,60 + 
84,00</t>
  </si>
  <si>
    <t>164,60 + 
97,90 + 
73,90</t>
  </si>
  <si>
    <t>ANEXO A MC = CONFORME (PROJETO ESTRUTURAL)</t>
  </si>
  <si>
    <t>SAPATAS</t>
  </si>
  <si>
    <t>CONCRETO FCK 20Mpa (m3)</t>
  </si>
  <si>
    <t>FUNDAÇÕES</t>
  </si>
  <si>
    <t>SUPERESTRUTURA</t>
  </si>
  <si>
    <t>FUN-001</t>
  </si>
  <si>
    <t>EST-001</t>
  </si>
  <si>
    <t>PILARES</t>
  </si>
  <si>
    <t>P1</t>
  </si>
  <si>
    <t>P4 / P5</t>
  </si>
  <si>
    <t>P2 / P3</t>
  </si>
  <si>
    <t>P6 / P22 / P25</t>
  </si>
  <si>
    <t>P7</t>
  </si>
  <si>
    <t>P8 / P9 / P17 / P19</t>
  </si>
  <si>
    <t>P10</t>
  </si>
  <si>
    <t>P11</t>
  </si>
  <si>
    <t>P12</t>
  </si>
  <si>
    <t>P13</t>
  </si>
  <si>
    <t>P14</t>
  </si>
  <si>
    <t>P15</t>
  </si>
  <si>
    <t>P16</t>
  </si>
  <si>
    <t>P18 / P32</t>
  </si>
  <si>
    <t>P20 / P26</t>
  </si>
  <si>
    <t>P21</t>
  </si>
  <si>
    <t>P23</t>
  </si>
  <si>
    <t>P24</t>
  </si>
  <si>
    <t>P27 / P30</t>
  </si>
  <si>
    <t>P31</t>
  </si>
  <si>
    <t>P33</t>
  </si>
  <si>
    <t>P34 / P35</t>
  </si>
  <si>
    <t>P36</t>
  </si>
  <si>
    <t>VIGA TRAVAMENTO</t>
  </si>
  <si>
    <t>V201</t>
  </si>
  <si>
    <t>V202</t>
  </si>
  <si>
    <t>V203</t>
  </si>
  <si>
    <t>V204</t>
  </si>
  <si>
    <t>V205</t>
  </si>
  <si>
    <t>V206</t>
  </si>
  <si>
    <t>V207</t>
  </si>
  <si>
    <t>V208</t>
  </si>
  <si>
    <t>V209</t>
  </si>
  <si>
    <t>V210</t>
  </si>
  <si>
    <t>V211</t>
  </si>
  <si>
    <t>V212</t>
  </si>
  <si>
    <t>V213</t>
  </si>
  <si>
    <t>V214</t>
  </si>
  <si>
    <t>V215</t>
  </si>
  <si>
    <t>V216</t>
  </si>
  <si>
    <t>V217</t>
  </si>
  <si>
    <t>V218</t>
  </si>
  <si>
    <t>V219</t>
  </si>
  <si>
    <t>V220</t>
  </si>
  <si>
    <t>V221</t>
  </si>
  <si>
    <t>V222</t>
  </si>
  <si>
    <t>V223</t>
  </si>
  <si>
    <t>V224</t>
  </si>
  <si>
    <t>V225</t>
  </si>
  <si>
    <t>V226</t>
  </si>
  <si>
    <t>V227</t>
  </si>
  <si>
    <t>V228</t>
  </si>
  <si>
    <t>V229</t>
  </si>
  <si>
    <t>V230</t>
  </si>
  <si>
    <t>V231</t>
  </si>
  <si>
    <t>V232</t>
  </si>
  <si>
    <t>V233</t>
  </si>
  <si>
    <t>3.4</t>
  </si>
  <si>
    <t xml:space="preserve">129,00+ 2,00 + 200,00 </t>
  </si>
  <si>
    <t>421,00 + 161,00 + 245,00</t>
  </si>
  <si>
    <t>ANEXO A MC = CONFORME (PROJETO ESTRUTURAL) + FORMA DA LAJE</t>
  </si>
  <si>
    <t>TOTAL DE FUNDAÇÃO</t>
  </si>
  <si>
    <t>TOTAL DE SUPERESTRUTURA</t>
  </si>
  <si>
    <t>CONCRETO   FCK 25Mpa (m3)</t>
  </si>
  <si>
    <t>AÇO - 60KG/M3 / 50KG/M3 (KG)</t>
  </si>
  <si>
    <t>CONCRETO FCK 25Mpa (m3)</t>
  </si>
  <si>
    <t>ANEXO A MC = CONFORME (PROJETO ARQUITETÔNICO)</t>
  </si>
  <si>
    <t>VERGA EM CONCRETO ESTRUTURAL PARA VÃOS ACIMA DE 150CM, PREPARADO EM OBRA COM BETONEIRA, CONTROLE "A", COM FCK 20 MPA, MOLDADA IN LOCO, INCLUSIVE ARMAÇÃO</t>
  </si>
  <si>
    <t>VERGA EM CONCRETO ESTRUTURAL PARA VÃOS DE ATÉ 150CM, PREPARADO EM OBRA COM BETONEIRA, CONTROLE "A", COM FCK 20 MPA, MOLDADA IN LOCO, INCLUSIVE ARMAÇÃO</t>
  </si>
  <si>
    <t>5.6</t>
  </si>
  <si>
    <t>CONTRAVERGA EM CONCRETO ESTRUTURAL PARA VÃOS ACIMA DE 150CM, PREPARADO EM OBRA COM BETONEIRA, CONTROLE "A", COM FCK 20 MPA, MOLDADA IN LOCO, INCLUSIVE ARMAÇÃO</t>
  </si>
  <si>
    <t>(2,30 SALA DE TERAPIA + 1,80  CONSULTÓRIO + 1,80 VEST. FEM + 1,80 VEST. MASC. + 1,80 COPA + 1,80 I.S.FEM. 1,80 + 1,80 + 2,30  + 2,30 + 2,30 SALA DE CINESIOTERAPIA E MECANOTERAPIA) x 0,15 x 0,20 x 1,00  &gt; COMP. X LARG. X ALT. X QUANT. (EM CIMA) &gt; CONSIDERANDO 15CM ALÉM DO VÃO PARA CADA LADO</t>
  </si>
  <si>
    <t>(2,30 SALA DE TERAPIA + 1,80  CONSULTÓRIO + 1,80 VEST. FEM + 1,80 VEST. MASC. + 1,80 COPA + 1,80 I.S.FEM. 1,80 + 1,80 + 2,30  + 2,30 + 2,30 SALA DE CINESIOTERAPIA E MECANOTERAPIA) x 0,15 x 0,20 x 1,00  &gt; COMP. X LARG. X ALT. X QUANT. (EMBAIXO) &gt; CONSIDERANDO 15CM ALÉM DO VÃO PARA CADA LADO</t>
  </si>
  <si>
    <t>(1,20 x 2,00 RECEPÃO + 1,20 I.S. +  1,20 VEST. + 1,20 I.S. P.N.E + 1,20 DML + 1,20 I.S. MAS. + 1,10 x 4,00 PM01 + 1,10 x 9,00 PMO2) x 0,15 x 0,20 &gt; COMP. X LARG. X ALT. &gt; CONSIDERANDO 15CM ALÉM DO VÃO PARA CADA LADO</t>
  </si>
  <si>
    <t xml:space="preserve">56,15 + 15,02 + 90,36 &gt; ÁREAS RETIRADAS DO AUTOCAD </t>
  </si>
  <si>
    <t>IMPERMEABILIZAÇÃO COM MANTA ASFÁLTICA PRÉ FABRICADA E = 4 MM</t>
  </si>
  <si>
    <t xml:space="preserve">[(0,70 + 0,20 + 0,20) x (7,55 + 11,80)] &gt; LARG. X COMP. &gt; REFERENTE A CALHA  FEITA DE ALVENARIA </t>
  </si>
  <si>
    <t>ED-50221</t>
  </si>
  <si>
    <t>PONTO DE ÁGUA FRIA EMBUTIDO, INCLUINDO TUBO DE PVC RÍGIDO SOLDÁVEL E CONEXÕES</t>
  </si>
  <si>
    <t>ED-50223</t>
  </si>
  <si>
    <t>PONTO DE ESGOTO, INCLUINDO TUBO DE PVC RÍGIDO SOLDÁVEL DE 40 MM E CONEXÕES (LAVATÓRIOS, MICTÓRIOS, RALOS SIFONADOS, ETC.)</t>
  </si>
  <si>
    <t>ED-50225</t>
  </si>
  <si>
    <t>PONTO DE ESGOTO, INCLUINDO TUBO DE PVC RÍGIDO SOLDÁVEL DE 100 MM E CONEXÕES (VASO SANITÁRIO)</t>
  </si>
  <si>
    <t>1,00 I.S. PNE + 1,00 I.S FEM. + 1,00 I.S MASC. + 1,00 I.S + 1,00 VEST. + 1,00 VEST. FEM. + 1,00 VEST. MASC.</t>
  </si>
  <si>
    <t>REGISTRO DE GAVETA, TIPO BRUTO,  ROSCÁVEL 1" (PARA TUBO SOLDÁVEL OU PPR DN 32MM/CPVC DN 28MM), INCLUSIVE VOLANTE PARA ACIONAMENTO</t>
  </si>
  <si>
    <t xml:space="preserve">1,00 CONSULTÓRIO + 1,00 RECEPÇÃO / DML + 1,00 SALA DE CINESIOTERAPIA + 1,00 SALA DE TERAPIA + 1,00 COPA + 1,00 ÁREA DE SERVIÇO </t>
  </si>
  <si>
    <t xml:space="preserve">2,00 CXS D'ÁGUA &gt; UNIDADES LOCADAS DE ACORDO COM O PROJETO </t>
  </si>
  <si>
    <t>DISTÂNCIA PARA LIGAÇÃO A REDE EXISTENTE</t>
  </si>
  <si>
    <t>1,00 I.S. PNE + 1,00 I.S FEM. + 1,00 I.S MASC. + 1,00 CONSULTÓRIO +`1,00 I.S + 1,00 RECEPÇÃO + 1,00 SALA DE CINESIOTERAPIA + 1,00 CIRCULAÇÃO + 1,00 SALA DE TERAPIA + 1,00 D.M.L + 1,00 COPA + 1,00 ÁREA DE SERVIÇO + 1,00 VEST. FEM. + 1,00 VEST. MASC.</t>
  </si>
  <si>
    <t>2,00 I.S. PNE + 2,00 I.S FEM. + 2,00 I.S MASC. + 1,00 CONSULTÓRIO +`2,00 I.S + 1,00 RECEPÇÃO + 2,00 SALA DE CINESIOTERAPIA + 2,00 CIRCULAÇÃO + 2,00 SALA DE TERAPIA + 2,00 D.M.L + 2,00 COPA + 2,00 ÁREA DE SERVIÇO + 4,00 VEST. FEM. + 4,00 VEST. MASC.</t>
  </si>
  <si>
    <t>1,00 VEST. FEM. + 1,00 VEST. MASC.</t>
  </si>
  <si>
    <t>CAIXA DE GORDURA DUPLA (CGD), CIRCULAR, EM CONCRETO PRÉ-MOLDADO, CAPACIDADE DE 120L, INCLUSIVE ESCAVAÇÃO, REATERRO, TRANSPORTE E RETIRADA DO MATERIAL ESCAVADO (EM CAÇAMBA)</t>
  </si>
  <si>
    <t xml:space="preserve">UNIDADES LOCADAS DE ACORDO COM O PROJETO </t>
  </si>
  <si>
    <t>1,00 I.S. PNE + 1,00 I.S FEM. + 1,00 I.S MASC. + 1,00 CONSULTÓRIO +`1,00 I.S + 1,00 SALA DE CINESIOTERAPIA + 1,00 CIRCULAÇÃO + 1,00 SALA DE TERAPIA +  1,00 VEST. FEM. + 1,00 VEST. MASC.</t>
  </si>
  <si>
    <t>1,00 I.S. PNE + 1,00 I.S FEM. + 1,00 I.S MASC. + 1,00 I.S + 1,00 I.S + 1,00 VEST. FEM. + 1,00 VEST. MASC.</t>
  </si>
  <si>
    <t>0,65 x 1,30 &gt; COMP. X LARG. &gt; COPA</t>
  </si>
  <si>
    <t>ED-48348</t>
  </si>
  <si>
    <t>RODABANCA/FRONTÃO PARA BANCADA EM GRANITO, COR CINZA ANDORINHA, ESP. 2CM, ALTURA DE 10CM, INCLUSIVE REJUNTAMENTO  EM MASSA PLÁSTICA NA COR DA PEDRA</t>
  </si>
  <si>
    <t>0,65 + 1,30 &gt; COMP. &gt; COPA</t>
  </si>
  <si>
    <t>TESTEIRA PARA BANCADA EM GRANITO, COR CINZA ANDORINHA, ESP. 2CM, ALTURA DE 3CM, INCLUSIVE POLIMENTO,CORTE/ COLAGEM EM MEIA ESQUADARIA E MASSA PLÁSTICA NA COR DA PEDRA</t>
  </si>
  <si>
    <t xml:space="preserve">ED-9155 </t>
  </si>
  <si>
    <t>TANQUE DE MÁRMORE SINTÉTICO SIMPLES, CAPACIDADE 20 LITROS, INCLUSIVE ACESSÓRIOS DE FIXAÇÃO, VÁLVULA DE ESCOAMENTO DE METAL COM ACABAMENTO CROMADO, SIFÃO DE METAL TIPO COPO COM ACABAMENTO CROMADO, FORNECIMENTO E INSTALAÇÃO, EXCLUSIVE TORNEIRA</t>
  </si>
  <si>
    <t>2,00 I.S. PNE + 2,00 I.S FEM. + 2,00 I.S MASC. + 1,00 CONSULTÓRIO +`2,00 I.S + 1,00 RECEPÇÃO + 1,00 SALA DE CINESIOTERAPIA + 1,00 CIRCULAÇÃO + 1,00 VEST. + 1,00 SALA DE TERAPIA + 1,00 D.M.L + 1,00 COPA + 2,00 ÁREA DE SERVIÇO + 3,00 VEST. FEM. + 3,00 VEST. MASC.</t>
  </si>
  <si>
    <t>CONFORME PROJETO ELÉTRICO</t>
  </si>
  <si>
    <t>ED-49191</t>
  </si>
  <si>
    <t>CAIXA DE LIGAÇÃO/PASSAGEM EM PVC RÍGIDO PARA ELETRODUTO, OCTOGONAL COM ANEL DESLIZANTE, DIMENSÕES 3"X3", EMBUTIDA EM LAJE - FORNECIMENTO E INSTALAÇÃO</t>
  </si>
  <si>
    <t>ED-49188</t>
  </si>
  <si>
    <t>CAIXA DE LIGAÇÃO/PASSAGEM EM PVC RÍGIDO PARA ELETRODUTO, DIMENSÕES 4"X4", EMBUTIDA EM ALVENARIA - FORNECIMENTO E INSTALAÇÃO</t>
  </si>
  <si>
    <t>ED-49187</t>
  </si>
  <si>
    <t>CAIXA DE LIGAÇÃO/PASSAGEM EM PVC RÍGIDO PARA ELETRODUTO, DIMENSÕES 4"X2", EMBUTIDA EM ALVENARIA - FORNECIMENTO E INSTALAÇÃO</t>
  </si>
  <si>
    <t>SINAPI -97597</t>
  </si>
  <si>
    <t>SENSOR DE PRESENÇA COM FOTOCÉLULA, FIXAÇÃO EM TETO - FORNECIMENTO E INSTALAÇÃO. AF_02/2020</t>
  </si>
  <si>
    <t>ED-20583</t>
  </si>
  <si>
    <t>ENTRADA DE ENERGIA AÉREA, TIPO C3, PADRÃO CEMIG, CARGA INSTALADA DE 23,1KVA ATÉ 27KVA, TRIFÁSICO, COM SAÍDA SUBTERRÂNEA, INCLUSIVE POSTE, CAIXA PARA MEDIDOR, DISJUNTOR, BARRAMENTO, ATERRAMENTO E ACESSÓRIOS</t>
  </si>
  <si>
    <t xml:space="preserve">ED-49501 </t>
  </si>
  <si>
    <t xml:space="preserve">QUADRO DE DISTRIBUIÇÃO PARA 24 MÓDULOS COM BARRAMENTO 100 A </t>
  </si>
  <si>
    <t>DISPOSITIVO DR, 4 POLOS, SENSIBILIDADE DE 30 MA, CORRENTE DE 40 A, TIPO AC</t>
  </si>
  <si>
    <t>ED-49414</t>
  </si>
  <si>
    <t>ELETRODUTO FLEXÍVEL CORRUGADO, PVC, ANTI-CHAMA, DN 25MM (3/4"), APLICADO EM ALVENARIA, INCLUSIVE RASGO</t>
  </si>
  <si>
    <t xml:space="preserve">ED-48951 </t>
  </si>
  <si>
    <t>CABO DE COBRE FLEXÍVEL, CLASSE 5, ISOLAMENTO TIPO LSHF/ATOX, NÃO HALOGENADO, ANTICHAMA, TERMOPLÁSTICO, UNIPOLAR, SEÇÃO 2,5 MM2, 70°C, 450/750V</t>
  </si>
  <si>
    <t>ED-48946</t>
  </si>
  <si>
    <t>CABO DE COBRE FLEXÍVEL, CLASSE 5, ISOLAMENTO TIPO LSHF/ATOX, NÃO HALOGENADO, ANTICHAMA, TERMOPLÁSTICO, UNIPOLAR, SEÇÃO 1,5 MM2, 70°C, 450/750V</t>
  </si>
  <si>
    <t xml:space="preserve">ED-48956 </t>
  </si>
  <si>
    <t xml:space="preserve">ED-48976 </t>
  </si>
  <si>
    <t>CABO DE COBRE FLEXÍVEL, CLASSE 5, ISOLAMENTO TIPO LSHF/ATOX, NÃO HALOGENADO, ANTICHAMA, TERMOPLÁSTICO, UNIPOLAR, SEÇÃO 25 MM2, 70°C, 450/750V</t>
  </si>
  <si>
    <t>CABO DE COBRE FLEXÍVEL, CLASSE 5, ISOLAMENTO TIPO LSHF/ATOX, NÃO HALOGENADO, ANTICHAMA, TERMOPLÁSTICO, UNIPOLAR, SEÇÃO 4 MM2, 70°C, 450/750V</t>
  </si>
  <si>
    <r>
      <t xml:space="preserve"> </t>
    </r>
    <r>
      <rPr>
        <sz val="8"/>
        <rFont val="Arial"/>
        <family val="2"/>
      </rPr>
      <t>DISPOSITIVO DPS CLASSE II, 1 POLO, TENSAO MAXIMA DE 275 V, CORRENTE MAXIMA DE *20* KA (TIPO AC)</t>
    </r>
  </si>
  <si>
    <t>COMPOSIÇÕES DE CUSTO - NÃO DESONERADO</t>
  </si>
  <si>
    <t>DESCRIÇÃO DO SERVIÇO OU FORNECIMENTO</t>
  </si>
  <si>
    <t>DATA BASE</t>
  </si>
  <si>
    <t>FONTE</t>
  </si>
  <si>
    <t>PREÇO REFERENCIAL</t>
  </si>
  <si>
    <t>COMP. 01</t>
  </si>
  <si>
    <t>SETOP</t>
  </si>
  <si>
    <t>DESCRIÇÃO DO INSUMO</t>
  </si>
  <si>
    <t>COEFICIENTE</t>
  </si>
  <si>
    <t>CUSTO UNITÁRIO</t>
  </si>
  <si>
    <t>CUSTO TOTAL</t>
  </si>
  <si>
    <t>SINAPI INSUMO</t>
  </si>
  <si>
    <t>FORNECIMENTO E INSTALAÇÃO DE DISPOSITIVO DR, 4 POLOS, SENSIBILIDADE DE 30 MA, CORRENTE DE 40 A, TIPO AC</t>
  </si>
  <si>
    <t>SETOP/SINAPI</t>
  </si>
  <si>
    <t>AJUDANTE DE ELETRICISTA COM ENCARGOS COMPLEMENTARES</t>
  </si>
  <si>
    <t>H</t>
  </si>
  <si>
    <t>ELETRICISTA COM ENCARGOS COMPLEMENTARES</t>
  </si>
  <si>
    <t>COMP. 02</t>
  </si>
  <si>
    <t>DISPOSITIVO DPS CLASSE II, 1 POLO, TENSAO MAXIMA DE 275 V, CORRENTE MAXIMA DE *20* KA (TIPO AC)</t>
  </si>
  <si>
    <t>ED-13342</t>
  </si>
  <si>
    <t>LÂMPADA LED, BASE E27, POTÊNCIA 9W, BULBO A60, TEMPERATURA 
DA COR 6500K, TENSÃO 110-127V, FORNECIMENTO E INSTALAÇÃO, 
EXCLUSIVE LUMINÁRIA</t>
  </si>
  <si>
    <t>LÂMPADA LED, BASE E27, POTÊNCIA 9W, BULBO A60, TEMPERATURA DA COR 6500K, TENSÃO 110-127V, FORNECIMENTO E INSTALAÇÃO, EXCLUSIVE LUMINÁRIA</t>
  </si>
  <si>
    <t>1,00 CONSULTORIO + 1,00 SALA DE CINESIOTERAPIA E MECANOTERAPIA + 1,00 SALA DE TERAPIA</t>
  </si>
  <si>
    <t>PORTA DE ALUMÍNIO DE ABRIR COM LAMBRI, COM GUARNIÇÃO, FIXAÇÃO COM PARAFUSOS - FORNECIMENTO E INSTALAÇÃO. AF_12/2019</t>
  </si>
  <si>
    <t>TARJETA TIPO LIVRE/OCUPADO PARA PORTA DE BANHEIRO. AF_12/2019</t>
  </si>
  <si>
    <t xml:space="preserve">0,80 x 2,10 x 1,00 I.S (CONSULTORIO) + 0,90 x 2,10 x 1,00 I.S P.N.E + 0,80 x 2,10 x 1,00 I.S FEM. + 0,80 x 2,10 x 1,00 I.S MASC. + 0,90 x 2,10 x 1,00 CINESIOTERAPIA (EXTERNA) + 0,80 x 2,10 x 1,00 VEST. + 0,55 x 1,80 x 1,00 VEST. INTERNA + 0,80 X 2,10 x 1,00 D.M.L + 0,80 X 2,10 x 2,00 COPA + 0,80 x 2,10 x 1,00 VEST. MASC. + 0,55 x 1,80 x 1,00 VEST. MASC. INTERNA + 0,80 x 2,10 x 1,00 VEST. FEM. + 0,55 x 1,80 x 1,00 VEST. FEM. INTERNA </t>
  </si>
  <si>
    <t>(1,00 VEST. + 1,00 VEST. MASC. INTERNA + 1,00 VEST. FEM.) x 2,00 (LADOS)</t>
  </si>
  <si>
    <t>2,40 x 2,15 x 1,00 RECEPÇÃO</t>
  </si>
  <si>
    <t>COMP. 03</t>
  </si>
  <si>
    <t>FORNECIMENTO E ASSENTAMENTO DE PORTA DE ALUMÍNIO, LINHA SUPREMA ACABAMENTO ANODIZADO, TIPO CORRER, COM DUAS FOLHAS, INCLUSIVE FORNECIMENTO DE VIDRO LISO TEMPERADO DE 8MM, FERRAGENS E ACESSÓRIOS</t>
  </si>
  <si>
    <t>AREIA LAVADA POSTO OBRA (TIPO: MÉDIA)</t>
  </si>
  <si>
    <t>CIMENTO PORTLAND CP II E-32 (RESISTÊNCIA: 32,00MPA)</t>
  </si>
  <si>
    <t>PORTA DE ALUMÍNIO SOB ENCOMENDA, DE CORRER,COLOCAÇÃO E ACABAMENTO COM DUAS FOLHAS</t>
  </si>
  <si>
    <t>PEDREIRO COM ENCARGOS COMPLEMENTARES</t>
  </si>
  <si>
    <t>SERVENTE COM ENCARGOS COMPLEMENTARES</t>
  </si>
  <si>
    <t xml:space="preserve">ED-51159 </t>
  </si>
  <si>
    <t>VIDRO TEMPERADO INCOLOR, ESP. 8MM, INCLUSIVE FIXAÇÃO E  VEDAÇÃO COM GUARNIÇÃO/GAXETA DE BORRACHA NEOPRENE, FORNECIMENTO E INSTALAÇÃO, EXCLUSIVE CAIXILHO/PERFIL</t>
  </si>
  <si>
    <t>PORTA EM MADEIRA DE LEI ESPECIAL 90 X 210 CM, PARA PINTURA, PARA P.N.E., COM PROTEÇÃO INFERIOR EM LAMINADO MELAMÍNICO, INCLUSIVE FERRAGENS E MAÇANETA TIPO ALAVANCA (P1 E P2)</t>
  </si>
  <si>
    <t>0,70 x 2,00 + 0,70 x 2,00 RECEPÃO + 1,00 x 0,50 I.S. +  1,00 x 0,50 VEST. +  1,00 x 0,50 I.S. P.N.E +  1,00 x 0,50 DML +  1,00 x 0,50 I.S. MAS. + 1,50 x 0,50 + 1,50X0,50  SALA DE CINESIOTERAPIA E MECANOTERAPIA+ 1,50 x 0,50 VEST. FEM + 1,50 x 0,50 VEST. MASC. + 1,50 x 0,50 COPA + 1,50 x 0,50 I.S.FEM. + 2,00 x 0,50  + 2,00 x 0,50 + 2,00 x 0,50 SALA DE CINESIOTERAPIA E MECANOTERAPIA &gt; COMP. X LARG.</t>
  </si>
  <si>
    <t>2,00 x 1,20 SALA DE TERAPIA + 1,50 x 1,20  CONSULTÓRIO &gt; COMP. X LARG.</t>
  </si>
  <si>
    <t>10.4</t>
  </si>
  <si>
    <t>10.5</t>
  </si>
  <si>
    <t>10.6</t>
  </si>
  <si>
    <t xml:space="preserve">INSTALAÇÃO DE VIDRO TEMPERADO, E = 8 MM, ENCAIXADO EM PERFIL U. </t>
  </si>
  <si>
    <t>10.7</t>
  </si>
  <si>
    <t>2,40 x 0,60 x 1,00 &gt; RECEPÇÃO</t>
  </si>
  <si>
    <t>11.4</t>
  </si>
  <si>
    <t xml:space="preserve">ED-50761 </t>
  </si>
  <si>
    <t>REBOCO COM ARGAMASSA, TRAÇO 1:2:8 (CIMENTO, CAL E 
AREIA), ESP. 20MM, APLICAÇÃO MANUAL, PREPARO MECÂNICO</t>
  </si>
  <si>
    <t>IDEM A ÁREA DE REVESTIMENTO CERÂMICO</t>
  </si>
  <si>
    <t xml:space="preserve">ED-9081 </t>
  </si>
  <si>
    <t>REVESTIMENTO COM CERÂMICA APLICADO EM PAREDE, ACABAMENTO ESMALTADO, AMBIENTE INTERNO/EXTERNO, PADRÃO EXTRA, DIMENSÃO DA PEÇA ATÉ 2025 CM2, PEI III, ASSENTAMENTO COM ARGAMASSA INDUSTRIALIZADA, INCLUSIVE REJUNTAMENTO</t>
  </si>
  <si>
    <t>REVESTIMENTO CERÂMICO PAREDE (M2)</t>
  </si>
  <si>
    <t>ED-51003</t>
  </si>
  <si>
    <t xml:space="preserve">SOLEIRA DE GRANITO CINZA ANDORINHA E = 3 CM </t>
  </si>
  <si>
    <t>PISOS, SOLEIRAS E PEITORIS</t>
  </si>
  <si>
    <t xml:space="preserve">ED-50998 </t>
  </si>
  <si>
    <t xml:space="preserve">PEITORIL DE GRANITO CINZA ANDORINHA E = 3 CM </t>
  </si>
  <si>
    <t>12.7</t>
  </si>
  <si>
    <t xml:space="preserve">0,70 x 0,20 x 2,00 + 1,00 x 0,20 x 5,00 + 1,50 x 0,20 x 3,00 + 2,00 x 0,20 x 6,00 </t>
  </si>
  <si>
    <t>0,90 x 2,10 x 3,00) x 2,00 &gt; COMP. X LARG. X QUANT. X LADOS</t>
  </si>
  <si>
    <t xml:space="preserve">(0,60 x 0,60) x 2,00 &gt; COMP. X LARG. DO ALÇAPÃO X LADOS  </t>
  </si>
  <si>
    <t>ESPELHOS E ACESSÓRIOS</t>
  </si>
  <si>
    <t>14.3</t>
  </si>
  <si>
    <t>14.4</t>
  </si>
  <si>
    <t>14.5</t>
  </si>
  <si>
    <t>14.6</t>
  </si>
  <si>
    <t>14.7</t>
  </si>
  <si>
    <t>14.8</t>
  </si>
  <si>
    <t>14.9</t>
  </si>
  <si>
    <t>BARRA DE APOIO LATERAL ARTICULADA, COM TRAVA, EM ACO INOX POLIDO, FIXADA NA PAREDE - FORNECIMENTO E INSTALAÇÃO. AF_01/2020</t>
  </si>
  <si>
    <t>14.10</t>
  </si>
  <si>
    <t>1,00 &gt; LAVATÓRIO I.S.PNE</t>
  </si>
  <si>
    <t>2,00 &gt; PORTA I.S.PNE</t>
  </si>
  <si>
    <t>1,00 &gt; VASO SANITÁRIO I.S.PNE</t>
  </si>
  <si>
    <t>ED-48157</t>
  </si>
  <si>
    <t xml:space="preserve">ASSENTO PARA VASO PNE (NBR 9050) </t>
  </si>
  <si>
    <t xml:space="preserve">1,00  &gt;I.S. PNE  </t>
  </si>
  <si>
    <t xml:space="preserve"> 1,00 + 1,00 + 1,00 + 1,00 + 1,00 + 1,00 &gt; I.S. FEM. + I.S + I.S.MAS. + VEST. + VEST.MASC. + VEST.FEM. </t>
  </si>
  <si>
    <t>14.11</t>
  </si>
  <si>
    <t xml:space="preserve">ED-48188 </t>
  </si>
  <si>
    <t>SABONETEIRA PLASTICA TIPO DISPENSER PARA SABONETE LIQUIDO COM RESERVATORIO 800 ML</t>
  </si>
  <si>
    <t>PAISAGISMO</t>
  </si>
  <si>
    <t>PAI-001</t>
  </si>
  <si>
    <t>ED-50436</t>
  </si>
  <si>
    <t>PLANTIO DE GRAMA SÃO CARLOS EM PLACAS, INCLUSIVE TERRA VEGETAL E CONSERVAÇÃO POR 30 DIAS</t>
  </si>
  <si>
    <t>ED-50433</t>
  </si>
  <si>
    <t>PLANTIO E PREPARO DE COVAS DE ARBUSTOS ORNAMENTAIS EM GERAL, EXCETO FORNECIMENTO DAS MUDAS</t>
  </si>
  <si>
    <t>ED-50445</t>
  </si>
  <si>
    <t>FORNECIMENTO DE FORRAÇÃO - CLOROFITO</t>
  </si>
  <si>
    <t xml:space="preserve">ED-50449 </t>
  </si>
  <si>
    <t>FORNECIMENTO DE PALMEIRA ARECA LUTESCENS (PALMEIRA ANÃ)</t>
  </si>
  <si>
    <t xml:space="preserve">ED-51139 </t>
  </si>
  <si>
    <t>GUIA DE MEIO-FIO, EM CONCRETO COM FCK 20MPA, PRÉ MOLDADA,MFC-01 PADRÃO DER-MG, DIMENSÕES (12X16,7X35)CM, EXCLUSIVE SARJETA, INCLUSIVE ESCAVAÇÃO, APILOAMENTO E TRANSPORTE COM RETIRADA DO MATERIAL ESCAVADO (EM CAÇAMBA)</t>
  </si>
  <si>
    <t>16.5</t>
  </si>
  <si>
    <t>(1,20 x 2,00 + 1,65 x 2,00) + (2,75 x 2,00) ENTRADA E FRENTES + (4,47 x 1,00) + (3,15 x 1,00) LATERAL + (4,75 x 1,00) + (1,10 x 1,00) FUNDOS &gt; TRAVAMENTO JARDINS</t>
  </si>
  <si>
    <t>(1,20 x 1,65 x 2,00) + (2,75 x 0,80 x 2,00) ENTRADA E FRENTES + (4,47 x 1,35) + (3,15 x 0,80) LATERAL + (4,75 x 1,00) FUNDOS &gt; TRAVAMENTO JARDINS</t>
  </si>
  <si>
    <t xml:space="preserve">ED-50201 </t>
  </si>
  <si>
    <t>PLACAS E SINALIZAÇÕES VISUAIS</t>
  </si>
  <si>
    <t>17.2</t>
  </si>
  <si>
    <t>ED-50636</t>
  </si>
  <si>
    <t>PLACA DE ALUMÍNIO FUNDIDO COM DENOMINAÇÃO DE CÔMODOS, 20 X 5 CM</t>
  </si>
  <si>
    <t>PLA-ALU</t>
  </si>
  <si>
    <t>17.3</t>
  </si>
  <si>
    <t>ED-50638</t>
  </si>
  <si>
    <t>PLACA DE ALUMÍNIO FUNDIDO COM NOME DO PRÉDIO, AFIXADA 
EM PAREDE (0,39 M2</t>
  </si>
  <si>
    <t xml:space="preserve">ED-50635 </t>
  </si>
  <si>
    <t>PLACA DE INAUGURAÇÃO EM ALUMÍNIO FUNDIDO 85 X 50 CM</t>
  </si>
  <si>
    <t>CJ</t>
  </si>
  <si>
    <t>1,00 CONSULTORIO + 1,00 I.S + 1,00 I.S P.N.E + 1,00 I.S FEM. + 1,00 I.S MASC. + 1,00 CINESIOTERAPIA + 1,00 VEST. +1,00 TERAPIA + 1,00 D.M.L + 1,00 COPA + 1,00 VEST. MASC. + 1,00 VEST. FEM.</t>
  </si>
  <si>
    <t>6.8</t>
  </si>
  <si>
    <t xml:space="preserve">ED-48332 </t>
  </si>
  <si>
    <t>PINGADEIRA COM DIMENSÃO (20X5)CM, MOLDADO "IN-LOCO", EM CONCRETO NÃO ESTRUTURAL, PREPARADO EM OBRA COM BETONEIRA, COM FCK 15MPA, INCLUSIVE LANÇAMENTO, ADENSAMENTO, ACABAMENTO E ARMAÇÃO</t>
  </si>
  <si>
    <t>17,00 x 2,00 + 12,10 x 2,00 &gt; PERÍMETRO BEIRAL</t>
  </si>
  <si>
    <t>ED-50734</t>
  </si>
  <si>
    <t xml:space="preserve">FRISO DE ALUMÍNIO ANODIZADO NATURAL 3/8" </t>
  </si>
  <si>
    <t>11.5</t>
  </si>
  <si>
    <t>(6,00 x 2,85 x 2,00) + (1,00 x (2,85 + 5,00 + 2,85) x 1,00) + (6,00 x 4,10 x 1,00) + (1,00 x (4,10 + 2,00 + 0,32 + 2,00 + 0,25)) + (5,00 x 0,25 x 1,00) + (5,00 x 1,45 x 2,00) &gt; QUANT. x COMP. x LADOS</t>
  </si>
  <si>
    <t>4,00 + 6,00 + 4,00</t>
  </si>
  <si>
    <t>10.8</t>
  </si>
  <si>
    <t>18.1</t>
  </si>
  <si>
    <t>DATA: 19/01/2022</t>
  </si>
  <si>
    <t>LOCAL: PRAÇA IBRAHIM PEREIRA DA CUNHA, S/N° - CENTRO- CARVALHOS - MG</t>
  </si>
  <si>
    <t>R.T.PLANILHA - ENGENHEIRA CIVIL - PRISCILA CRISTINA DE PAULA NETO CREA MG N° 142.702/D</t>
  </si>
  <si>
    <t>ED-51148</t>
  </si>
  <si>
    <t>RAMPA PARA ACESSO DE DEFICIENTE, EM CONCRETO SIMPLES FCK = 25 MPA, DESEMPENADA, COM PINTURA INDICATIVA, 02 DEMÃOS</t>
  </si>
  <si>
    <t>12.8</t>
  </si>
  <si>
    <t>ED-50152</t>
  </si>
  <si>
    <t>ED-50128</t>
  </si>
  <si>
    <t>ED-50273</t>
  </si>
  <si>
    <t>ED-50150</t>
  </si>
  <si>
    <t>ED-50151</t>
  </si>
  <si>
    <t>ED-51107</t>
  </si>
  <si>
    <t>ED-51097</t>
  </si>
  <si>
    <t>ED-51093</t>
  </si>
  <si>
    <t>ED-49643</t>
  </si>
  <si>
    <t>ED-49812</t>
  </si>
  <si>
    <t>ED-48298</t>
  </si>
  <si>
    <t>ED-49786</t>
  </si>
  <si>
    <t>ED-49618</t>
  </si>
  <si>
    <t>ED-50256</t>
  </si>
  <si>
    <t>ED-48233</t>
  </si>
  <si>
    <t>ED-48232</t>
  </si>
  <si>
    <t>ED-48533</t>
  </si>
  <si>
    <t>ED-48408</t>
  </si>
  <si>
    <t>ED-48424</t>
  </si>
  <si>
    <t>ED-50676</t>
  </si>
  <si>
    <t>RUFO E CONTRA-RUFO DE CHAPA GALVANIZADA Nº. 24,
DESENVOLVIMENTO = 20 CM</t>
  </si>
  <si>
    <t>ED-50170</t>
  </si>
  <si>
    <t>ED-50168</t>
  </si>
  <si>
    <t>ED-50176</t>
  </si>
  <si>
    <t>ED-48669</t>
  </si>
  <si>
    <t>ED-49909</t>
  </si>
  <si>
    <t>ED-49974</t>
  </si>
  <si>
    <t>ED-49989</t>
  </si>
  <si>
    <t>ED-49965</t>
  </si>
  <si>
    <t>ED-49937</t>
  </si>
  <si>
    <t>ED-50303</t>
  </si>
  <si>
    <t>ED-50010</t>
  </si>
  <si>
    <t>ED-49957</t>
  </si>
  <si>
    <t>ED-49940</t>
  </si>
  <si>
    <t>ED-49874</t>
  </si>
  <si>
    <t>ED-50282</t>
  </si>
  <si>
    <t>ED-50297</t>
  </si>
  <si>
    <t>ED-50330</t>
  </si>
  <si>
    <t>ED-50313</t>
  </si>
  <si>
    <t>ED-48343</t>
  </si>
  <si>
    <t>ED-50277</t>
  </si>
  <si>
    <t>ED-50324</t>
  </si>
  <si>
    <t>ED-50290</t>
  </si>
  <si>
    <t>ED-50331</t>
  </si>
  <si>
    <t>ED-50323</t>
  </si>
  <si>
    <t>ED-49229</t>
  </si>
  <si>
    <t>ED-49231</t>
  </si>
  <si>
    <t>ED-49241</t>
  </si>
  <si>
    <t>ED-49246</t>
  </si>
  <si>
    <t>ED-48702</t>
  </si>
  <si>
    <t>ED-49343</t>
  </si>
  <si>
    <t>ED-49359</t>
  </si>
  <si>
    <t>ED-49351</t>
  </si>
  <si>
    <t>ED-49352</t>
  </si>
  <si>
    <t>ED-49368</t>
  </si>
  <si>
    <t>ED-49346</t>
  </si>
  <si>
    <t>ED-49345</t>
  </si>
  <si>
    <t>ED-49533</t>
  </si>
  <si>
    <t>ED-49531</t>
  </si>
  <si>
    <t>ED-49538</t>
  </si>
  <si>
    <t>ED-49413</t>
  </si>
  <si>
    <t>ED-49133</t>
  </si>
  <si>
    <t>ED-49400</t>
  </si>
  <si>
    <t>ED-49604</t>
  </si>
  <si>
    <t>ED-50961</t>
  </si>
  <si>
    <t>ED-50962</t>
  </si>
  <si>
    <t>SINAPI-102180</t>
  </si>
  <si>
    <t>ED-50923</t>
  </si>
  <si>
    <t>ED-50727</t>
  </si>
  <si>
    <t>ED-50732</t>
  </si>
  <si>
    <t>ED-50588</t>
  </si>
  <si>
    <t>ED-50568</t>
  </si>
  <si>
    <t>ED-50542</t>
  </si>
  <si>
    <t>ED-50546</t>
  </si>
  <si>
    <t>ED-50771</t>
  </si>
  <si>
    <t>ED-50514</t>
  </si>
  <si>
    <t>ED-50451</t>
  </si>
  <si>
    <t>ED-50515</t>
  </si>
  <si>
    <t>ED-50452</t>
  </si>
  <si>
    <t>ED-50482</t>
  </si>
  <si>
    <t>ED-50493</t>
  </si>
  <si>
    <t>ED-50491</t>
  </si>
  <si>
    <t>ED-51152</t>
  </si>
  <si>
    <t>ED-48160</t>
  </si>
  <si>
    <t>ED-48162</t>
  </si>
  <si>
    <t>ED-48163</t>
  </si>
  <si>
    <t>ED-48156</t>
  </si>
  <si>
    <t>ED-48181</t>
  </si>
  <si>
    <t>ED-48176</t>
  </si>
  <si>
    <t>ED-48155</t>
  </si>
  <si>
    <t>ED-50193</t>
  </si>
  <si>
    <t>ED-50194</t>
  </si>
  <si>
    <t>ED-50196</t>
  </si>
  <si>
    <t>ED-50266</t>
  </si>
  <si>
    <t>6.9</t>
  </si>
  <si>
    <t xml:space="preserve">SINAPI-100705 </t>
  </si>
  <si>
    <t>SINAPI-91338</t>
  </si>
  <si>
    <t>SINAPI-100865</t>
  </si>
  <si>
    <t>ED-50362</t>
  </si>
  <si>
    <t xml:space="preserve">ED-50373 </t>
  </si>
  <si>
    <t xml:space="preserve">ED-50381 </t>
  </si>
  <si>
    <t xml:space="preserve">ED-50367 </t>
  </si>
  <si>
    <t>MATED-11248</t>
  </si>
  <si>
    <t xml:space="preserve">MATED-11258 </t>
  </si>
  <si>
    <t>MATED-12681</t>
  </si>
  <si>
    <t>ED-50392</t>
  </si>
  <si>
    <t xml:space="preserve">1,00 &gt; ENTRADA DA FISIOTERAPIA </t>
  </si>
  <si>
    <t xml:space="preserve">REGIÃO/MÊS DE REFERÊNCIA: SEINFRA REGIÃO SUL OUTUBRO /2021 E SINAPI DEZEMBRO /2021 PREÇO DE CUSTO COM DESONERAÇÃO FISCAL - LEI 12.546/2011 e 12.844/2013 </t>
  </si>
  <si>
    <t>ISS :</t>
  </si>
  <si>
    <t>BDI :</t>
  </si>
  <si>
    <t>ED-50283</t>
  </si>
  <si>
    <t>LAVATÓRIO DE LOUÇA BRANCA SEM COLUNA, TAMANHO MÉDIO, INCLUSIVE ACESSÓRIOS DE FIXAÇÃO, VÁLVULA DE ESCOAMENTO DE METAL COM ACABAMENTO CROMADO, SIFÃO DE METAL TIPO COPO COM ACABAMENTO CROMADO, FORNECIMENTO, INSTALAÇÃO E REJUNTAMENTO, EXCLUSIVE TORNEIRA E ENGATE FLEXÍVEL</t>
  </si>
  <si>
    <t>((7,85 + 3,38 + 0,65 + 4,60 + 1,45 + 3,00 + 2,89 + 0,80 + 5,76 + 11,80) + (2,80 +1,10 + 4,75 + 7,03 + 7,55 + 8,13) + (6,05 + 2,37 + 1,90 + 0,80 + 2,55 + 1,65 + 1,50 + 1,52)) x 1,10 &gt; EXTENSÃO x INCLINAÇÃO</t>
  </si>
  <si>
    <t>RUFO E CONTRA-RUFO DE CHAPA GALVANIZADA Nº. 24, DESENVOLVIMENTO = 20 CM</t>
  </si>
  <si>
    <t>30,00 &gt; UNIDADES</t>
  </si>
  <si>
    <t>1,00 &gt; CONJUNTO</t>
  </si>
  <si>
    <t>ED-50367</t>
  </si>
  <si>
    <t>PLACA FOTOLUMINESCENTE "M1"  ((INDICAÇÃO DOS SISTEMAS DE PROTEÇÃO - CONFORME PROJETO) - INSTALADA</t>
  </si>
  <si>
    <t>PLACA FOTOLUMINESCENTE "M1"  ((INDICAÇÃO DOS SISTEMAS DE PROTEÇÃO - CONFORME PROJETO)</t>
  </si>
  <si>
    <t>ED-50381</t>
  </si>
  <si>
    <t>COMP. 04</t>
  </si>
  <si>
    <t>COMP. 05</t>
  </si>
  <si>
    <t>PLACA "M7"  ((INDICAÇÃO DOS SISTEMAS DE PROTEÇÃO - CONFORME PROJETO) - INSTALADA</t>
  </si>
  <si>
    <t xml:space="preserve">COTAÇÕES </t>
  </si>
  <si>
    <t>COTAÇÃO 01</t>
  </si>
  <si>
    <t>CNPJ</t>
  </si>
  <si>
    <t>NOME DA EMPRESA FORNECEDORA</t>
  </si>
  <si>
    <t>TELEFONE</t>
  </si>
  <si>
    <t>CONTATO</t>
  </si>
  <si>
    <t>DATA COTAÇÃO</t>
  </si>
  <si>
    <t>PREÇO COTADO</t>
  </si>
  <si>
    <t>WILSON</t>
  </si>
  <si>
    <t>COTAÇÃO 02</t>
  </si>
  <si>
    <t>JOÃO</t>
  </si>
  <si>
    <t>___________________________________________________</t>
  </si>
  <si>
    <t>Priscila Cristina De Paula Neto</t>
  </si>
  <si>
    <r>
      <t>Engenheira Civil - CREA/MG n</t>
    </r>
    <r>
      <rPr>
        <sz val="10"/>
        <rFont val="Calibri"/>
        <family val="2"/>
      </rPr>
      <t>º</t>
    </r>
    <r>
      <rPr>
        <sz val="10"/>
        <rFont val="Arial"/>
        <family val="2"/>
      </rPr>
      <t xml:space="preserve"> 142702/D</t>
    </r>
  </si>
  <si>
    <t>PLACA "M7"  ((INDICAÇÃO DOS SISTEMAS DE PROTEÇÃO - CONFORME PROJETO)</t>
  </si>
  <si>
    <t>18.837.043/0001-91</t>
  </si>
  <si>
    <t>BRIGADA: TREINAMENTOS, PROJETOS, COMÉRCIO E SERVIÇOS DE SEGURANÇA E PROTEÇÃO CONTRA INCÊNDIOS.</t>
  </si>
  <si>
    <t>GM MENEZES COMÉRCIO DE EQUIPAMENTOS DE SEGURANÇA</t>
  </si>
  <si>
    <t>PONTO DO INCÊNDIO</t>
  </si>
  <si>
    <t>03.598.050/0001-00</t>
  </si>
  <si>
    <t>31) 3492-3004</t>
  </si>
  <si>
    <t>(11) 4442 3565</t>
  </si>
  <si>
    <t>23.523.728/0001-01</t>
  </si>
  <si>
    <t>(35) 331 7717</t>
  </si>
  <si>
    <t>RUBIA</t>
  </si>
  <si>
    <t>FITA ANTIDERRAPANTE</t>
  </si>
  <si>
    <t>MATED-11975</t>
  </si>
  <si>
    <t>COMP. 06</t>
  </si>
  <si>
    <t>APLICAÇÃO DE FAIXA/FITA ADESIVA EM SUPERFÍCIE PARA SINALIZAÇÃO, LARGURA DE 20CM - INSTALADA</t>
  </si>
  <si>
    <t>REBOCO COM ARGAMASSA, TRAÇO 1:2:8 (CIMENTO, CAL E AREIA), ESP. 20MM, APLICAÇÃO MANUAL, PREPARO MECÂNICO</t>
  </si>
  <si>
    <t>PLACA DE ALUMÍNIO FUNDIDO COM NOME DO PRÉDIO, AFIXADA EM PAREDE (0,39 M2)</t>
  </si>
  <si>
    <t xml:space="preserve">ED-50948 </t>
  </si>
  <si>
    <t>ESCADA MARINHEIRO COM GRADIL PROTETOR - D = 3/4"</t>
  </si>
  <si>
    <t>PLACA FOTOLUMINESCENTE "S1" OU "S2" OU ''S3''- 380 X 190 MM (SAÍDA - DIREITA-ESQUERDA)</t>
  </si>
  <si>
    <t>2,4 &gt; PORTA PRINCIPAL DE ENTRADA</t>
  </si>
  <si>
    <t>1,00 &gt; RECEPÇÃO</t>
  </si>
  <si>
    <t>2 &gt; RECEPÇÃO E CIRCULAÇÃO</t>
  </si>
  <si>
    <t>6,00 &gt; 1,00 RECEPÇÃO, 1,00 CONSULTORIO, 1,00 HALL, 2,00 CICULAÇÃO E 1,00 CINESIOTERAPIA</t>
  </si>
  <si>
    <t>DATA: 21/01/2022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</si>
</sst>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quot;R$&quot;\ #,##0.00"/>
    <numFmt numFmtId="165" formatCode="&quot;R$ &quot;#,##0.00"/>
    <numFmt numFmtId="166" formatCode="0.000"/>
    <numFmt numFmtId="167" formatCode="_-* #,##0.000_-;\-* #,##0.000_-;_-* &quot;-&quot;??_-;_-@_-"/>
    <numFmt numFmtId="168" formatCode="0.000000"/>
    <numFmt numFmtId="169" formatCode="_(* #,##0.00_);_(* \(#,##0.00\);_(* &quot;-&quot;??_);_(@_)"/>
    <numFmt numFmtId="170" formatCode="&quot;R$&quot;\ #,##0.00;&quot;R$&quot;\ #,##0.00;"/>
  </numFmts>
  <fonts count="52"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000000"/>
      <name val="Arial"/>
      <family val="2"/>
    </font>
    <font>
      <b/>
      <sz val="8"/>
      <color rgb="FF000000"/>
      <name val="Arial"/>
      <family val="2"/>
    </font>
    <font>
      <sz val="8"/>
      <color rgb="FF000000"/>
      <name val="Arial"/>
      <family val="2"/>
    </font>
    <font>
      <b/>
      <sz val="10"/>
      <name val="Arial"/>
      <family val="2"/>
    </font>
    <font>
      <sz val="8"/>
      <color rgb="FF010000"/>
      <name val="Century Gothic"/>
      <family val="2"/>
    </font>
    <font>
      <sz val="8"/>
      <color rgb="FF010000"/>
      <name val="Arial"/>
      <family val="2"/>
    </font>
    <font>
      <sz val="10"/>
      <color rgb="FF000000"/>
      <name val="Arial"/>
      <family val="2"/>
    </font>
    <font>
      <sz val="8"/>
      <name val="Arial"/>
      <family val="2"/>
    </font>
    <font>
      <sz val="10"/>
      <color theme="1"/>
      <name val="Arial"/>
      <family val="2"/>
    </font>
    <font>
      <sz val="10"/>
      <name val="Arial"/>
    </font>
    <font>
      <b/>
      <sz val="16"/>
      <color indexed="8"/>
      <name val="Calibri"/>
      <family val="2"/>
      <scheme val="minor"/>
    </font>
    <font>
      <b/>
      <sz val="10"/>
      <color theme="1"/>
      <name val="Calibri"/>
      <family val="2"/>
      <scheme val="minor"/>
    </font>
    <font>
      <b/>
      <sz val="12"/>
      <color theme="1"/>
      <name val="Calibri"/>
      <family val="2"/>
      <scheme val="minor"/>
    </font>
    <font>
      <b/>
      <sz val="12"/>
      <name val="Arial"/>
      <family val="2"/>
    </font>
    <font>
      <sz val="9"/>
      <color indexed="8"/>
      <name val="Arial"/>
      <family val="2"/>
    </font>
    <font>
      <b/>
      <sz val="9"/>
      <color indexed="12"/>
      <name val="Arial"/>
      <family val="2"/>
    </font>
    <font>
      <b/>
      <sz val="9"/>
      <color indexed="8"/>
      <name val="Arial"/>
      <family val="2"/>
    </font>
    <font>
      <b/>
      <sz val="9"/>
      <name val="Arial"/>
      <family val="2"/>
    </font>
    <font>
      <sz val="9"/>
      <name val="Arial"/>
      <family val="2"/>
    </font>
    <font>
      <b/>
      <sz val="12"/>
      <name val="Calibri"/>
      <family val="2"/>
      <scheme val="minor"/>
    </font>
    <font>
      <b/>
      <sz val="9"/>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sz val="10"/>
      <color theme="1"/>
      <name val="Arial"/>
      <family val="2"/>
    </font>
    <font>
      <sz val="10"/>
      <color rgb="FFFF0000"/>
      <name val="Arial"/>
      <family val="2"/>
    </font>
    <font>
      <b/>
      <sz val="11"/>
      <color rgb="FFFF0000"/>
      <name val="Calibri"/>
      <family val="2"/>
      <scheme val="minor"/>
    </font>
    <font>
      <b/>
      <sz val="10"/>
      <color rgb="FFFF0000"/>
      <name val="Arial"/>
      <family val="2"/>
    </font>
    <font>
      <sz val="12"/>
      <color theme="1"/>
      <name val="Calibri"/>
      <family val="2"/>
      <scheme val="minor"/>
    </font>
    <font>
      <b/>
      <i/>
      <sz val="11"/>
      <color theme="1"/>
      <name val="Calibri"/>
      <family val="2"/>
      <scheme val="minor"/>
    </font>
    <font>
      <b/>
      <i/>
      <sz val="11"/>
      <color rgb="FFFF0000"/>
      <name val="Calibri"/>
      <family val="2"/>
      <scheme val="minor"/>
    </font>
    <font>
      <b/>
      <sz val="12"/>
      <color theme="1"/>
      <name val="Arial"/>
      <family val="2"/>
    </font>
    <font>
      <b/>
      <sz val="12"/>
      <color rgb="FFFF0000"/>
      <name val="Calibri"/>
      <family val="2"/>
      <scheme val="minor"/>
    </font>
    <font>
      <sz val="12"/>
      <color rgb="FFFF0000"/>
      <name val="Calibri"/>
      <family val="2"/>
      <scheme val="minor"/>
    </font>
    <font>
      <sz val="12"/>
      <color rgb="FFFF0000"/>
      <name val="Arial"/>
      <family val="2"/>
    </font>
    <font>
      <b/>
      <sz val="12"/>
      <name val="Calibri"/>
      <family val="2"/>
      <scheme val="major"/>
    </font>
    <font>
      <b/>
      <sz val="8"/>
      <color indexed="8"/>
      <name val="Calibri"/>
      <family val="2"/>
    </font>
    <font>
      <sz val="8"/>
      <color indexed="8"/>
      <name val="Calibri"/>
      <family val="2"/>
    </font>
    <font>
      <sz val="10"/>
      <color rgb="FF000000"/>
      <name val="Arial"/>
    </font>
    <font>
      <b/>
      <sz val="8"/>
      <name val="Calibri"/>
      <family val="2"/>
    </font>
    <font>
      <sz val="8"/>
      <color theme="1"/>
      <name val="Calibri"/>
      <family val="2"/>
    </font>
    <font>
      <sz val="8"/>
      <name val="Calibri"/>
      <family val="2"/>
    </font>
    <font>
      <sz val="10"/>
      <name val="Calibri"/>
      <family val="2"/>
    </font>
    <font>
      <sz val="8"/>
      <name val="Century Gothic"/>
      <family val="2"/>
    </font>
    <font>
      <sz val="8"/>
      <color theme="1"/>
      <name val="Arial"/>
      <family val="2"/>
    </font>
    <font>
      <sz val="8"/>
      <color theme="1"/>
      <name val="Century Gothic"/>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indexed="43"/>
        <bgColor indexed="64"/>
      </patternFill>
    </fill>
  </fills>
  <borders count="150">
    <border>
      <left/>
      <right/>
      <top/>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010000"/>
      </top>
      <bottom style="thin">
        <color rgb="FF010000"/>
      </bottom>
      <diagonal/>
    </border>
    <border>
      <left style="thin">
        <color indexed="64"/>
      </left>
      <right style="thin">
        <color indexed="64"/>
      </right>
      <top style="thin">
        <color indexed="64"/>
      </top>
      <bottom style="thin">
        <color indexed="64"/>
      </bottom>
      <diagonal/>
    </border>
    <border>
      <left/>
      <right/>
      <top/>
      <bottom style="thin">
        <color rgb="FF01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hair">
        <color rgb="FF000000"/>
      </left>
      <right style="hair">
        <color rgb="FF000000"/>
      </right>
      <top/>
      <bottom/>
      <diagonal/>
    </border>
    <border>
      <left style="hair">
        <color rgb="FF000000"/>
      </left>
      <right/>
      <top/>
      <bottom/>
      <diagonal/>
    </border>
    <border>
      <left style="thin">
        <color indexed="64"/>
      </left>
      <right style="thin">
        <color indexed="64"/>
      </right>
      <top/>
      <bottom/>
      <diagonal/>
    </border>
    <border>
      <left style="thin">
        <color rgb="FF000000"/>
      </left>
      <right style="thin">
        <color rgb="FF000000"/>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medium">
        <color indexed="64"/>
      </right>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rgb="FF010000"/>
      </bottom>
      <diagonal/>
    </border>
    <border>
      <left style="hair">
        <color rgb="FF000000"/>
      </left>
      <right style="hair">
        <color rgb="FF000000"/>
      </right>
      <top style="thin">
        <color indexed="64"/>
      </top>
      <bottom style="thin">
        <color indexed="64"/>
      </bottom>
      <diagonal/>
    </border>
    <border>
      <left style="hair">
        <color indexed="64"/>
      </left>
      <right/>
      <top style="thin">
        <color indexed="64"/>
      </top>
      <bottom style="hair">
        <color indexed="64"/>
      </bottom>
      <diagonal/>
    </border>
    <border>
      <left style="hair">
        <color rgb="FF000000"/>
      </left>
      <right style="hair">
        <color rgb="FF000000"/>
      </right>
      <top style="thin">
        <color indexed="64"/>
      </top>
      <bottom style="thin">
        <color rgb="FF010000"/>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thin">
        <color rgb="FF000000"/>
      </top>
      <bottom/>
      <diagonal/>
    </border>
    <border>
      <left/>
      <right style="thin">
        <color rgb="FF000000"/>
      </right>
      <top/>
      <bottom style="medium">
        <color indexed="64"/>
      </bottom>
      <diagonal/>
    </border>
    <border>
      <left style="thin">
        <color rgb="FF000000"/>
      </left>
      <right/>
      <top/>
      <bottom style="medium">
        <color indexed="64"/>
      </bottom>
      <diagonal/>
    </border>
    <border>
      <left/>
      <right/>
      <top style="thin">
        <color rgb="FF000000"/>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rgb="FF000000"/>
      </bottom>
      <diagonal/>
    </border>
    <border>
      <left/>
      <right style="thin">
        <color indexed="64"/>
      </right>
      <top/>
      <bottom style="medium">
        <color rgb="FF000000"/>
      </bottom>
      <diagonal/>
    </border>
    <border>
      <left style="thin">
        <color indexed="64"/>
      </left>
      <right/>
      <top style="medium">
        <color rgb="FF000000"/>
      </top>
      <bottom/>
      <diagonal/>
    </border>
    <border>
      <left/>
      <right style="thin">
        <color indexed="64"/>
      </right>
      <top style="medium">
        <color rgb="FF000000"/>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indexed="64"/>
      </left>
      <right/>
      <top style="medium">
        <color rgb="FF000000"/>
      </top>
      <bottom style="thin">
        <color rgb="FF000000"/>
      </bottom>
      <diagonal/>
    </border>
    <border>
      <left/>
      <right style="thin">
        <color indexed="64"/>
      </right>
      <top style="medium">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medium">
        <color indexed="64"/>
      </bottom>
      <diagonal/>
    </border>
    <border>
      <left/>
      <right style="thin">
        <color indexed="64"/>
      </right>
      <top style="thin">
        <color rgb="FF000000"/>
      </top>
      <bottom style="medium">
        <color indexed="64"/>
      </bottom>
      <diagonal/>
    </border>
    <border>
      <left style="thin">
        <color indexed="64"/>
      </left>
      <right style="thin">
        <color rgb="FF000000"/>
      </right>
      <top style="medium">
        <color indexed="64"/>
      </top>
      <bottom style="medium">
        <color indexed="64"/>
      </bottom>
      <diagonal/>
    </border>
    <border>
      <left style="thin">
        <color rgb="FF000000"/>
      </left>
      <right style="thin">
        <color indexed="64"/>
      </right>
      <top style="medium">
        <color indexed="64"/>
      </top>
      <bottom style="medium">
        <color indexed="64"/>
      </bottom>
      <diagonal/>
    </border>
    <border>
      <left style="thin">
        <color indexed="64"/>
      </left>
      <right style="hair">
        <color rgb="FF000000"/>
      </right>
      <top/>
      <bottom/>
      <diagonal/>
    </border>
    <border>
      <left/>
      <right style="thin">
        <color indexed="64"/>
      </right>
      <top style="medium">
        <color indexed="64"/>
      </top>
      <bottom style="thin">
        <color indexed="64"/>
      </bottom>
      <diagonal/>
    </border>
  </borders>
  <cellStyleXfs count="11">
    <xf numFmtId="0" fontId="0" fillId="0" borderId="0"/>
    <xf numFmtId="0" fontId="15" fillId="0" borderId="0"/>
    <xf numFmtId="43" fontId="4" fillId="0" borderId="0" applyFont="0" applyFill="0" applyBorder="0" applyAlignment="0" applyProtection="0"/>
    <xf numFmtId="9" fontId="15" fillId="0" borderId="0" applyFont="0" applyFill="0" applyBorder="0" applyAlignment="0" applyProtection="0"/>
    <xf numFmtId="0" fontId="3" fillId="0" borderId="0"/>
    <xf numFmtId="43" fontId="3" fillId="0" borderId="0" applyFont="0" applyFill="0" applyBorder="0" applyAlignment="0" applyProtection="0"/>
    <xf numFmtId="9" fontId="44" fillId="0" borderId="0" applyFont="0" applyFill="0" applyBorder="0" applyAlignment="0" applyProtection="0"/>
    <xf numFmtId="0" fontId="1" fillId="0" borderId="0"/>
    <xf numFmtId="43" fontId="1" fillId="0" borderId="0" applyFont="0" applyFill="0" applyBorder="0" applyAlignment="0" applyProtection="0"/>
    <xf numFmtId="0" fontId="5" fillId="0" borderId="0"/>
    <xf numFmtId="169" fontId="5" fillId="0" borderId="0" applyFont="0" applyFill="0" applyBorder="0" applyAlignment="0" applyProtection="0"/>
  </cellStyleXfs>
  <cellXfs count="621">
    <xf numFmtId="0" fontId="0" fillId="0" borderId="0" xfId="0" applyFont="1" applyAlignment="1"/>
    <xf numFmtId="0" fontId="0" fillId="0" borderId="0" xfId="0" applyFont="1" applyAlignment="1"/>
    <xf numFmtId="0" fontId="6" fillId="0" borderId="3" xfId="0" applyFont="1" applyBorder="1" applyAlignment="1">
      <alignment horizontal="center" vertical="center"/>
    </xf>
    <xf numFmtId="2" fontId="0" fillId="0" borderId="0" xfId="0" applyNumberFormat="1" applyFont="1" applyAlignment="1"/>
    <xf numFmtId="0" fontId="0" fillId="0" borderId="0" xfId="0" applyFont="1" applyAlignment="1"/>
    <xf numFmtId="0" fontId="0" fillId="0" borderId="0" xfId="0" applyFont="1" applyAlignment="1"/>
    <xf numFmtId="0" fontId="8" fillId="0" borderId="17" xfId="0" applyFont="1" applyBorder="1" applyAlignment="1">
      <alignment horizontal="center" vertical="center" wrapText="1"/>
    </xf>
    <xf numFmtId="0" fontId="10" fillId="0" borderId="17" xfId="0" applyNumberFormat="1" applyFont="1" applyFill="1" applyBorder="1" applyAlignment="1" applyProtection="1">
      <alignment horizontal="left" vertical="top" wrapText="1"/>
    </xf>
    <xf numFmtId="2" fontId="8" fillId="0" borderId="17" xfId="0" applyNumberFormat="1" applyFont="1" applyBorder="1" applyAlignment="1">
      <alignment horizontal="center" vertical="center" wrapText="1"/>
    </xf>
    <xf numFmtId="0" fontId="0" fillId="0" borderId="0" xfId="0" applyFont="1" applyAlignment="1"/>
    <xf numFmtId="0" fontId="12" fillId="0" borderId="0" xfId="0" applyFont="1" applyAlignment="1"/>
    <xf numFmtId="0" fontId="8" fillId="2" borderId="17" xfId="0" applyFont="1" applyFill="1" applyBorder="1" applyAlignment="1">
      <alignment horizontal="center" vertical="center" wrapText="1"/>
    </xf>
    <xf numFmtId="0" fontId="6" fillId="0" borderId="26" xfId="0" applyFont="1" applyBorder="1" applyAlignment="1">
      <alignment horizontal="center" vertical="center"/>
    </xf>
    <xf numFmtId="4" fontId="8" fillId="0" borderId="17" xfId="0" applyNumberFormat="1" applyFont="1" applyBorder="1" applyAlignment="1">
      <alignment horizontal="right" vertical="center" wrapText="1"/>
    </xf>
    <xf numFmtId="4" fontId="13" fillId="0" borderId="17" xfId="0" applyNumberFormat="1" applyFont="1" applyBorder="1" applyAlignment="1">
      <alignment horizontal="right" vertical="center" wrapText="1"/>
    </xf>
    <xf numFmtId="4" fontId="10" fillId="0" borderId="17" xfId="0" applyNumberFormat="1" applyFont="1" applyFill="1" applyBorder="1" applyAlignment="1" applyProtection="1">
      <alignment horizontal="right" vertical="center"/>
    </xf>
    <xf numFmtId="4" fontId="10" fillId="2" borderId="17" xfId="0" applyNumberFormat="1" applyFont="1" applyFill="1" applyBorder="1" applyAlignment="1" applyProtection="1">
      <alignment horizontal="right" vertical="center"/>
    </xf>
    <xf numFmtId="0" fontId="10" fillId="0" borderId="17" xfId="0" applyNumberFormat="1" applyFont="1" applyFill="1" applyBorder="1" applyAlignment="1" applyProtection="1">
      <alignment horizontal="center" vertical="center"/>
    </xf>
    <xf numFmtId="0" fontId="10" fillId="0" borderId="20" xfId="0" applyNumberFormat="1" applyFont="1" applyFill="1" applyBorder="1" applyAlignment="1" applyProtection="1">
      <alignment horizontal="center" vertical="center"/>
    </xf>
    <xf numFmtId="0" fontId="8" fillId="0" borderId="0" xfId="0" applyFont="1" applyAlignment="1">
      <alignment horizontal="center" vertical="center"/>
    </xf>
    <xf numFmtId="0" fontId="10" fillId="0" borderId="16" xfId="0" applyNumberFormat="1" applyFont="1" applyFill="1" applyBorder="1" applyAlignment="1" applyProtection="1">
      <alignment horizontal="left" vertical="center" wrapText="1"/>
    </xf>
    <xf numFmtId="0" fontId="15" fillId="0" borderId="0" xfId="1"/>
    <xf numFmtId="0" fontId="15" fillId="2" borderId="0" xfId="1" applyFill="1" applyBorder="1"/>
    <xf numFmtId="49" fontId="20" fillId="4" borderId="42" xfId="1" applyNumberFormat="1" applyFont="1" applyFill="1" applyBorder="1" applyAlignment="1">
      <alignment horizontal="center" vertical="top" wrapText="1"/>
    </xf>
    <xf numFmtId="49" fontId="20" fillId="4" borderId="44" xfId="1" applyNumberFormat="1" applyFont="1" applyFill="1" applyBorder="1" applyAlignment="1">
      <alignment horizontal="center" vertical="top" wrapText="1"/>
    </xf>
    <xf numFmtId="49" fontId="22" fillId="4" borderId="47" xfId="1" applyNumberFormat="1" applyFont="1" applyFill="1" applyBorder="1" applyAlignment="1">
      <alignment horizontal="center" vertical="top" wrapText="1"/>
    </xf>
    <xf numFmtId="49" fontId="22" fillId="4" borderId="50" xfId="1" applyNumberFormat="1" applyFont="1" applyFill="1" applyBorder="1" applyAlignment="1">
      <alignment horizontal="center" vertical="top" wrapText="1"/>
    </xf>
    <xf numFmtId="0" fontId="15" fillId="4" borderId="48" xfId="1" applyFill="1" applyBorder="1" applyAlignment="1">
      <alignment vertical="center"/>
    </xf>
    <xf numFmtId="0" fontId="15" fillId="4" borderId="36" xfId="1" applyFill="1" applyBorder="1" applyAlignment="1">
      <alignment vertical="center"/>
    </xf>
    <xf numFmtId="0" fontId="15" fillId="4" borderId="36" xfId="1" applyFill="1" applyBorder="1" applyAlignment="1">
      <alignment vertical="center" wrapText="1"/>
    </xf>
    <xf numFmtId="0" fontId="15" fillId="4" borderId="37" xfId="1" applyFill="1" applyBorder="1" applyAlignment="1">
      <alignment vertical="center"/>
    </xf>
    <xf numFmtId="0" fontId="9" fillId="4" borderId="21" xfId="1" applyFont="1" applyFill="1" applyBorder="1" applyAlignment="1">
      <alignment wrapText="1"/>
    </xf>
    <xf numFmtId="0" fontId="15" fillId="0" borderId="51" xfId="1" applyBorder="1" applyAlignment="1">
      <alignment vertical="center"/>
    </xf>
    <xf numFmtId="0" fontId="9" fillId="4" borderId="0" xfId="1" applyFont="1" applyFill="1" applyBorder="1" applyAlignment="1">
      <alignment wrapText="1"/>
    </xf>
    <xf numFmtId="0" fontId="9" fillId="4" borderId="21" xfId="1" applyFont="1" applyFill="1" applyBorder="1"/>
    <xf numFmtId="0" fontId="15" fillId="4" borderId="0" xfId="1" applyFill="1" applyBorder="1" applyAlignment="1">
      <alignment wrapText="1"/>
    </xf>
    <xf numFmtId="0" fontId="5" fillId="4" borderId="48" xfId="1" applyFont="1" applyFill="1" applyBorder="1"/>
    <xf numFmtId="0" fontId="15" fillId="4" borderId="36" xfId="1" applyFill="1" applyBorder="1" applyAlignment="1">
      <alignment wrapText="1"/>
    </xf>
    <xf numFmtId="0" fontId="15" fillId="4" borderId="36" xfId="1" applyFill="1" applyBorder="1"/>
    <xf numFmtId="0" fontId="15" fillId="4" borderId="0" xfId="1" applyFill="1" applyBorder="1"/>
    <xf numFmtId="0" fontId="5" fillId="4" borderId="21" xfId="1" applyFont="1" applyFill="1" applyBorder="1"/>
    <xf numFmtId="0" fontId="13" fillId="0" borderId="0" xfId="1" applyFont="1" applyBorder="1" applyAlignment="1">
      <alignment horizontal="center" vertical="center" wrapText="1"/>
    </xf>
    <xf numFmtId="0" fontId="23" fillId="4" borderId="21" xfId="1" applyFont="1" applyFill="1" applyBorder="1"/>
    <xf numFmtId="0" fontId="15" fillId="0" borderId="51" xfId="1" applyBorder="1" applyAlignment="1">
      <alignment horizontal="center" vertical="center"/>
    </xf>
    <xf numFmtId="0" fontId="23" fillId="4" borderId="0" xfId="1" applyFont="1" applyFill="1" applyBorder="1" applyAlignment="1">
      <alignment wrapText="1"/>
    </xf>
    <xf numFmtId="0" fontId="9" fillId="4" borderId="0" xfId="1" applyFont="1" applyFill="1" applyBorder="1" applyAlignment="1">
      <alignment horizontal="right"/>
    </xf>
    <xf numFmtId="0" fontId="24" fillId="4" borderId="48" xfId="1" applyFont="1" applyFill="1" applyBorder="1"/>
    <xf numFmtId="0" fontId="5" fillId="0" borderId="31" xfId="1" applyFont="1" applyBorder="1" applyAlignment="1">
      <alignment horizontal="center" vertical="center"/>
    </xf>
    <xf numFmtId="0" fontId="24" fillId="4" borderId="36" xfId="1" applyFont="1" applyFill="1" applyBorder="1" applyAlignment="1">
      <alignment wrapText="1"/>
    </xf>
    <xf numFmtId="0" fontId="15" fillId="4" borderId="0" xfId="1" applyFill="1"/>
    <xf numFmtId="0" fontId="15" fillId="4" borderId="0" xfId="1" applyFill="1" applyAlignment="1">
      <alignment wrapText="1"/>
    </xf>
    <xf numFmtId="0" fontId="5" fillId="2" borderId="0" xfId="1" applyFont="1" applyFill="1" applyBorder="1" applyAlignment="1">
      <alignment vertical="center" wrapText="1"/>
    </xf>
    <xf numFmtId="0" fontId="9" fillId="2" borderId="0" xfId="1" applyFont="1" applyFill="1" applyBorder="1" applyAlignment="1">
      <alignment wrapText="1"/>
    </xf>
    <xf numFmtId="0" fontId="9" fillId="2" borderId="0" xfId="1" applyFont="1" applyFill="1" applyBorder="1" applyAlignment="1">
      <alignment horizontal="center" wrapText="1"/>
    </xf>
    <xf numFmtId="10" fontId="21" fillId="4" borderId="54" xfId="1" applyNumberFormat="1" applyFont="1" applyFill="1" applyBorder="1" applyAlignment="1">
      <alignment vertical="top" wrapText="1"/>
    </xf>
    <xf numFmtId="4" fontId="20" fillId="4" borderId="55" xfId="1" applyNumberFormat="1" applyFont="1" applyFill="1" applyBorder="1" applyAlignment="1">
      <alignment vertical="top" wrapText="1"/>
    </xf>
    <xf numFmtId="4" fontId="20" fillId="4" borderId="54" xfId="1" applyNumberFormat="1" applyFont="1" applyFill="1" applyBorder="1" applyAlignment="1">
      <alignment vertical="top" wrapText="1"/>
    </xf>
    <xf numFmtId="9" fontId="20" fillId="4" borderId="54" xfId="3" applyFont="1" applyFill="1" applyBorder="1" applyAlignment="1">
      <alignment vertical="top" wrapText="1"/>
    </xf>
    <xf numFmtId="10" fontId="20" fillId="4" borderId="17" xfId="1" applyNumberFormat="1" applyFont="1" applyFill="1" applyBorder="1" applyAlignment="1">
      <alignment vertical="top" wrapText="1"/>
    </xf>
    <xf numFmtId="4" fontId="20" fillId="4" borderId="17" xfId="1" applyNumberFormat="1" applyFont="1" applyFill="1" applyBorder="1" applyAlignment="1">
      <alignment vertical="top" wrapText="1"/>
    </xf>
    <xf numFmtId="10" fontId="20" fillId="4" borderId="17" xfId="3" applyNumberFormat="1" applyFont="1" applyFill="1" applyBorder="1" applyAlignment="1">
      <alignment vertical="top" wrapText="1"/>
    </xf>
    <xf numFmtId="0" fontId="9" fillId="4" borderId="56" xfId="1" applyFont="1" applyFill="1" applyBorder="1" applyAlignment="1">
      <alignment horizontal="center" vertical="center"/>
    </xf>
    <xf numFmtId="0" fontId="9" fillId="4" borderId="57" xfId="1" applyFont="1" applyFill="1" applyBorder="1" applyAlignment="1">
      <alignment horizontal="center" vertical="center"/>
    </xf>
    <xf numFmtId="0" fontId="9" fillId="4" borderId="57" xfId="1" applyFont="1" applyFill="1" applyBorder="1" applyAlignment="1">
      <alignment horizontal="center" vertical="center" wrapText="1"/>
    </xf>
    <xf numFmtId="0" fontId="9" fillId="4" borderId="58" xfId="1" applyFont="1" applyFill="1" applyBorder="1" applyAlignment="1">
      <alignment horizontal="center" vertical="center"/>
    </xf>
    <xf numFmtId="0" fontId="9" fillId="4" borderId="59" xfId="1" applyFont="1" applyFill="1" applyBorder="1" applyAlignment="1">
      <alignment horizontal="center" vertical="center"/>
    </xf>
    <xf numFmtId="10" fontId="20" fillId="4" borderId="60" xfId="1" applyNumberFormat="1" applyFont="1" applyFill="1" applyBorder="1" applyAlignment="1">
      <alignment vertical="top" wrapText="1"/>
    </xf>
    <xf numFmtId="4" fontId="20" fillId="4" borderId="60" xfId="1" applyNumberFormat="1" applyFont="1" applyFill="1" applyBorder="1" applyAlignment="1">
      <alignment vertical="top" wrapText="1"/>
    </xf>
    <xf numFmtId="165" fontId="22" fillId="4" borderId="61" xfId="1" applyNumberFormat="1" applyFont="1" applyFill="1" applyBorder="1" applyAlignment="1">
      <alignment vertical="top" wrapText="1"/>
    </xf>
    <xf numFmtId="10" fontId="15" fillId="0" borderId="0" xfId="1" applyNumberFormat="1"/>
    <xf numFmtId="0" fontId="11" fillId="0" borderId="17" xfId="0" applyNumberFormat="1" applyFont="1" applyFill="1" applyBorder="1" applyAlignment="1" applyProtection="1">
      <alignment horizontal="center" vertical="center" wrapText="1"/>
    </xf>
    <xf numFmtId="0" fontId="19" fillId="3" borderId="32" xfId="1" applyFont="1" applyFill="1" applyBorder="1" applyAlignment="1">
      <alignment horizontal="center" vertical="center"/>
    </xf>
    <xf numFmtId="0" fontId="17" fillId="3" borderId="63" xfId="1" applyFont="1" applyFill="1" applyBorder="1" applyAlignment="1" applyProtection="1">
      <alignment horizontal="center" vertical="center" wrapText="1"/>
      <protection locked="0"/>
    </xf>
    <xf numFmtId="0" fontId="17" fillId="3" borderId="64" xfId="1" applyFont="1" applyFill="1" applyBorder="1" applyAlignment="1" applyProtection="1">
      <alignment horizontal="center" vertical="center" wrapText="1"/>
      <protection locked="0"/>
    </xf>
    <xf numFmtId="0" fontId="17" fillId="3" borderId="64" xfId="1" applyFont="1" applyFill="1" applyBorder="1" applyAlignment="1" applyProtection="1">
      <alignment vertical="center" wrapText="1"/>
      <protection locked="0"/>
    </xf>
    <xf numFmtId="0" fontId="19" fillId="3" borderId="68" xfId="1" applyFont="1" applyFill="1" applyBorder="1" applyAlignment="1">
      <alignment horizontal="center" vertical="center"/>
    </xf>
    <xf numFmtId="0" fontId="10" fillId="0" borderId="16" xfId="0" applyNumberFormat="1" applyFont="1" applyFill="1" applyBorder="1" applyAlignment="1" applyProtection="1">
      <alignment vertical="center" wrapText="1"/>
    </xf>
    <xf numFmtId="0" fontId="26" fillId="3" borderId="64" xfId="1" applyFont="1" applyFill="1" applyBorder="1" applyAlignment="1" applyProtection="1">
      <alignment horizontal="center" vertical="center" wrapText="1"/>
      <protection locked="0"/>
    </xf>
    <xf numFmtId="4" fontId="8" fillId="0" borderId="17" xfId="0" applyNumberFormat="1" applyFont="1" applyBorder="1" applyAlignment="1">
      <alignment horizontal="center" vertical="center" wrapText="1"/>
    </xf>
    <xf numFmtId="4" fontId="8" fillId="2" borderId="17" xfId="0" applyNumberFormat="1" applyFont="1" applyFill="1" applyBorder="1" applyAlignment="1">
      <alignment horizontal="center" vertical="center" wrapText="1"/>
    </xf>
    <xf numFmtId="0" fontId="3" fillId="0" borderId="0" xfId="4"/>
    <xf numFmtId="43" fontId="5" fillId="2" borderId="0" xfId="5" applyFont="1" applyFill="1" applyBorder="1" applyAlignment="1" applyProtection="1">
      <alignment horizontal="right" vertical="center"/>
      <protection locked="0"/>
    </xf>
    <xf numFmtId="0" fontId="3" fillId="2" borderId="0" xfId="4" applyFill="1"/>
    <xf numFmtId="0" fontId="3" fillId="2" borderId="0" xfId="4" applyFill="1" applyBorder="1"/>
    <xf numFmtId="0" fontId="3" fillId="2" borderId="0" xfId="4" applyFill="1" applyBorder="1" applyAlignment="1">
      <alignment vertical="center" wrapText="1"/>
    </xf>
    <xf numFmtId="0" fontId="3" fillId="2" borderId="0" xfId="4" applyFont="1" applyFill="1" applyBorder="1" applyAlignment="1">
      <alignment vertical="center"/>
    </xf>
    <xf numFmtId="2" fontId="3" fillId="2" borderId="0" xfId="4" applyNumberFormat="1" applyFont="1" applyFill="1" applyBorder="1" applyAlignment="1">
      <alignment horizontal="center" vertical="center"/>
    </xf>
    <xf numFmtId="166" fontId="3" fillId="2" borderId="0" xfId="4" applyNumberFormat="1" applyFill="1" applyBorder="1" applyAlignment="1">
      <alignment horizontal="center" vertical="center"/>
    </xf>
    <xf numFmtId="0" fontId="31" fillId="2" borderId="0" xfId="4" applyFont="1" applyFill="1" applyAlignment="1" applyProtection="1">
      <alignment vertical="center"/>
      <protection locked="0"/>
    </xf>
    <xf numFmtId="0" fontId="27" fillId="2" borderId="0" xfId="4" applyFont="1" applyFill="1"/>
    <xf numFmtId="0" fontId="27" fillId="0" borderId="0" xfId="4" applyFont="1"/>
    <xf numFmtId="43" fontId="5" fillId="0" borderId="17" xfId="5" applyFont="1" applyFill="1" applyBorder="1" applyAlignment="1" applyProtection="1">
      <alignment horizontal="right" vertical="center"/>
      <protection locked="0"/>
    </xf>
    <xf numFmtId="43" fontId="5" fillId="0" borderId="76" xfId="5" applyFont="1" applyFill="1" applyBorder="1" applyAlignment="1" applyProtection="1">
      <alignment horizontal="right" vertical="center"/>
      <protection locked="0"/>
    </xf>
    <xf numFmtId="0" fontId="27" fillId="0" borderId="0" xfId="4" applyFont="1" applyBorder="1"/>
    <xf numFmtId="0" fontId="9" fillId="0" borderId="78" xfId="1" applyFont="1" applyBorder="1" applyAlignment="1" applyProtection="1">
      <alignment horizontal="center" vertical="center"/>
      <protection locked="0"/>
    </xf>
    <xf numFmtId="43" fontId="5" fillId="0" borderId="80" xfId="5" applyFont="1" applyFill="1" applyBorder="1" applyAlignment="1" applyProtection="1">
      <alignment horizontal="right" vertical="center"/>
      <protection locked="0"/>
    </xf>
    <xf numFmtId="43" fontId="9" fillId="5" borderId="71" xfId="5" applyFont="1" applyFill="1" applyBorder="1" applyAlignment="1" applyProtection="1">
      <alignment horizontal="right" vertical="center"/>
      <protection locked="0"/>
    </xf>
    <xf numFmtId="43" fontId="31" fillId="0" borderId="0" xfId="5" applyFont="1" applyFill="1" applyBorder="1" applyAlignment="1" applyProtection="1">
      <alignment horizontal="right" vertical="center"/>
      <protection locked="0"/>
    </xf>
    <xf numFmtId="0" fontId="27" fillId="0" borderId="0" xfId="4" applyFont="1" applyFill="1" applyBorder="1"/>
    <xf numFmtId="43" fontId="5" fillId="0" borderId="0" xfId="5" applyFont="1" applyFill="1" applyBorder="1" applyAlignment="1" applyProtection="1">
      <alignment horizontal="right" vertical="center"/>
      <protection locked="0"/>
    </xf>
    <xf numFmtId="2" fontId="27" fillId="0" borderId="0" xfId="4" applyNumberFormat="1" applyFont="1" applyFill="1" applyBorder="1" applyAlignment="1">
      <alignment horizontal="center" vertical="center"/>
    </xf>
    <xf numFmtId="43" fontId="31" fillId="0" borderId="0" xfId="5" applyFont="1" applyFill="1" applyBorder="1" applyAlignment="1" applyProtection="1">
      <alignment vertical="center"/>
      <protection locked="0"/>
    </xf>
    <xf numFmtId="43" fontId="32" fillId="0" borderId="0" xfId="5" applyFont="1" applyFill="1" applyBorder="1" applyAlignment="1" applyProtection="1">
      <alignment horizontal="right" vertical="center"/>
      <protection locked="0"/>
    </xf>
    <xf numFmtId="43" fontId="31" fillId="0" borderId="0" xfId="5" applyFont="1" applyFill="1" applyBorder="1" applyAlignment="1" applyProtection="1">
      <alignment vertical="center" wrapText="1"/>
      <protection locked="0"/>
    </xf>
    <xf numFmtId="43" fontId="32" fillId="0" borderId="0" xfId="5" applyFont="1" applyFill="1" applyBorder="1" applyAlignment="1" applyProtection="1">
      <alignment vertical="center"/>
      <protection locked="0"/>
    </xf>
    <xf numFmtId="43" fontId="32" fillId="5" borderId="0" xfId="5" applyFont="1" applyFill="1" applyBorder="1" applyAlignment="1" applyProtection="1">
      <alignment horizontal="right" vertical="center"/>
      <protection locked="0"/>
    </xf>
    <xf numFmtId="0" fontId="32" fillId="0" borderId="0" xfId="4" applyFont="1" applyFill="1" applyBorder="1"/>
    <xf numFmtId="0" fontId="31" fillId="0" borderId="0" xfId="4" applyFont="1" applyFill="1" applyBorder="1" applyAlignment="1" applyProtection="1">
      <alignment vertical="center"/>
      <protection locked="0"/>
    </xf>
    <xf numFmtId="0" fontId="33" fillId="0" borderId="0" xfId="4" applyFont="1" applyFill="1" applyBorder="1" applyAlignment="1" applyProtection="1">
      <alignment vertical="center"/>
      <protection locked="0"/>
    </xf>
    <xf numFmtId="0" fontId="33" fillId="0" borderId="0" xfId="4" applyFont="1" applyBorder="1" applyAlignment="1" applyProtection="1">
      <alignment horizontal="center" vertical="center"/>
      <protection locked="0"/>
    </xf>
    <xf numFmtId="0" fontId="33" fillId="0" borderId="0" xfId="4" applyFont="1" applyFill="1" applyBorder="1" applyAlignment="1" applyProtection="1">
      <alignment horizontal="center" vertical="center" wrapText="1"/>
      <protection locked="0"/>
    </xf>
    <xf numFmtId="2" fontId="27" fillId="0" borderId="0" xfId="4" applyNumberFormat="1" applyFont="1" applyFill="1" applyBorder="1" applyAlignment="1">
      <alignment vertical="center" wrapText="1"/>
    </xf>
    <xf numFmtId="2" fontId="27" fillId="0" borderId="0" xfId="4" applyNumberFormat="1" applyFont="1" applyFill="1" applyBorder="1" applyAlignment="1">
      <alignment vertical="center"/>
    </xf>
    <xf numFmtId="2" fontId="32" fillId="5" borderId="0" xfId="4" applyNumberFormat="1" applyFont="1" applyFill="1" applyBorder="1" applyAlignment="1">
      <alignment horizontal="right"/>
    </xf>
    <xf numFmtId="0" fontId="32" fillId="5" borderId="0" xfId="4" applyFont="1" applyFill="1" applyBorder="1"/>
    <xf numFmtId="2" fontId="27" fillId="0" borderId="0" xfId="4" applyNumberFormat="1" applyFont="1" applyFill="1" applyBorder="1" applyAlignment="1">
      <alignment horizontal="center"/>
    </xf>
    <xf numFmtId="0" fontId="33" fillId="0" borderId="0" xfId="4" applyFont="1" applyFill="1" applyBorder="1" applyAlignment="1" applyProtection="1">
      <alignment horizontal="center" vertical="center"/>
      <protection locked="0"/>
    </xf>
    <xf numFmtId="0" fontId="33" fillId="0" borderId="0" xfId="4" applyFont="1" applyBorder="1" applyAlignment="1" applyProtection="1">
      <alignment horizontal="center" vertical="center" wrapText="1"/>
      <protection locked="0"/>
    </xf>
    <xf numFmtId="43" fontId="31" fillId="0" borderId="0" xfId="5" applyFont="1" applyFill="1" applyBorder="1" applyAlignment="1" applyProtection="1">
      <alignment horizontal="center" vertical="center"/>
      <protection locked="0"/>
    </xf>
    <xf numFmtId="43" fontId="33" fillId="5" borderId="0" xfId="5" applyFont="1" applyFill="1" applyBorder="1" applyAlignment="1" applyProtection="1">
      <alignment horizontal="right" vertical="center"/>
      <protection locked="0"/>
    </xf>
    <xf numFmtId="0" fontId="31" fillId="0" borderId="0" xfId="4" applyFont="1" applyFill="1" applyBorder="1" applyAlignment="1" applyProtection="1">
      <alignment horizontal="center" vertical="center"/>
      <protection locked="0"/>
    </xf>
    <xf numFmtId="43" fontId="31" fillId="0" borderId="0" xfId="5" applyFont="1" applyBorder="1" applyAlignment="1" applyProtection="1">
      <alignment vertical="center"/>
      <protection locked="0"/>
    </xf>
    <xf numFmtId="43" fontId="5" fillId="0" borderId="0" xfId="5" applyFont="1" applyFill="1" applyBorder="1" applyAlignment="1" applyProtection="1">
      <alignment vertical="center"/>
      <protection locked="0"/>
    </xf>
    <xf numFmtId="0" fontId="3" fillId="0" borderId="0" xfId="4" applyBorder="1"/>
    <xf numFmtId="43" fontId="5" fillId="0" borderId="0" xfId="5" applyFont="1" applyBorder="1" applyAlignment="1" applyProtection="1">
      <alignment vertical="center"/>
      <protection locked="0"/>
    </xf>
    <xf numFmtId="2" fontId="3" fillId="0" borderId="0" xfId="4" applyNumberFormat="1" applyFont="1" applyFill="1" applyBorder="1" applyAlignment="1">
      <alignment horizontal="center"/>
    </xf>
    <xf numFmtId="0" fontId="28" fillId="0" borderId="0" xfId="4" applyFont="1" applyFill="1" applyBorder="1" applyAlignment="1"/>
    <xf numFmtId="0" fontId="3" fillId="0" borderId="0" xfId="4" applyFill="1" applyBorder="1"/>
    <xf numFmtId="2" fontId="28" fillId="0" borderId="0" xfId="4" applyNumberFormat="1" applyFont="1" applyFill="1" applyBorder="1"/>
    <xf numFmtId="0" fontId="28" fillId="0" borderId="0" xfId="4" applyFont="1" applyFill="1" applyBorder="1"/>
    <xf numFmtId="0" fontId="9" fillId="0" borderId="0" xfId="4" applyFont="1" applyFill="1" applyBorder="1" applyAlignment="1">
      <alignment horizontal="center"/>
    </xf>
    <xf numFmtId="2" fontId="3" fillId="0" borderId="0" xfId="4" applyNumberFormat="1" applyFill="1" applyBorder="1" applyAlignment="1">
      <alignment horizontal="center"/>
    </xf>
    <xf numFmtId="0" fontId="28" fillId="0" borderId="0" xfId="4" applyFont="1" applyFill="1" applyBorder="1" applyAlignment="1">
      <alignment horizontal="center"/>
    </xf>
    <xf numFmtId="0" fontId="3" fillId="0" borderId="0" xfId="4" applyFont="1" applyFill="1" applyBorder="1" applyAlignment="1">
      <alignment horizontal="center"/>
    </xf>
    <xf numFmtId="0" fontId="3" fillId="0" borderId="0" xfId="4" applyFill="1" applyBorder="1" applyAlignment="1">
      <alignment wrapText="1"/>
    </xf>
    <xf numFmtId="0" fontId="28" fillId="0" borderId="0" xfId="4" applyFont="1" applyFill="1" applyBorder="1" applyAlignment="1">
      <alignment wrapText="1"/>
    </xf>
    <xf numFmtId="2" fontId="3" fillId="0" borderId="0" xfId="4" applyNumberFormat="1" applyFont="1" applyFill="1" applyBorder="1" applyAlignment="1">
      <alignment horizontal="center" vertical="center"/>
    </xf>
    <xf numFmtId="0" fontId="3" fillId="0" borderId="0" xfId="4" applyFont="1" applyFill="1" applyBorder="1" applyAlignment="1"/>
    <xf numFmtId="2" fontId="3" fillId="0" borderId="0" xfId="4" applyNumberFormat="1" applyFont="1" applyFill="1" applyBorder="1" applyAlignment="1"/>
    <xf numFmtId="0" fontId="18" fillId="0" borderId="0" xfId="4" applyFont="1" applyFill="1" applyBorder="1" applyAlignment="1"/>
    <xf numFmtId="0" fontId="9" fillId="0" borderId="0" xfId="4" applyFont="1" applyFill="1" applyBorder="1" applyAlignment="1">
      <alignment horizontal="center" vertical="center"/>
    </xf>
    <xf numFmtId="0" fontId="9" fillId="0" borderId="0" xfId="4" applyFont="1" applyFill="1" applyBorder="1" applyAlignment="1">
      <alignment horizontal="center" vertical="center" wrapText="1"/>
    </xf>
    <xf numFmtId="2" fontId="3" fillId="0" borderId="0" xfId="4" applyNumberFormat="1" applyFill="1" applyBorder="1" applyAlignment="1">
      <alignment horizontal="center" vertical="center"/>
    </xf>
    <xf numFmtId="2" fontId="3" fillId="0" borderId="0" xfId="4" applyNumberFormat="1" applyFill="1" applyBorder="1" applyAlignment="1">
      <alignment horizontal="right" vertical="center"/>
    </xf>
    <xf numFmtId="0" fontId="3" fillId="0" borderId="0" xfId="4" applyFill="1" applyBorder="1" applyAlignment="1">
      <alignment horizontal="center"/>
    </xf>
    <xf numFmtId="0" fontId="3" fillId="0" borderId="0"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xf>
    <xf numFmtId="2" fontId="28" fillId="0" borderId="0" xfId="4" applyNumberFormat="1" applyFont="1" applyFill="1" applyBorder="1" applyAlignment="1">
      <alignment horizontal="right" vertical="center"/>
    </xf>
    <xf numFmtId="0" fontId="34" fillId="0" borderId="0" xfId="4" applyFont="1" applyFill="1" applyBorder="1" applyAlignment="1"/>
    <xf numFmtId="2" fontId="3" fillId="0" borderId="0" xfId="4" applyNumberFormat="1" applyFill="1" applyBorder="1" applyAlignment="1">
      <alignment vertical="center"/>
    </xf>
    <xf numFmtId="0" fontId="35" fillId="0" borderId="0" xfId="4" applyFont="1" applyFill="1" applyBorder="1"/>
    <xf numFmtId="2" fontId="3" fillId="0" borderId="0" xfId="4" applyNumberFormat="1" applyFill="1" applyBorder="1" applyAlignment="1"/>
    <xf numFmtId="0" fontId="35" fillId="0" borderId="0" xfId="4" applyFont="1" applyFill="1" applyBorder="1" applyAlignment="1"/>
    <xf numFmtId="0" fontId="35" fillId="0" borderId="0" xfId="4" applyFont="1" applyFill="1" applyBorder="1" applyAlignment="1">
      <alignment horizontal="left" wrapText="1"/>
    </xf>
    <xf numFmtId="0" fontId="3" fillId="0" borderId="0" xfId="4" applyFill="1" applyBorder="1" applyAlignment="1">
      <alignment horizontal="center" vertical="center" wrapText="1"/>
    </xf>
    <xf numFmtId="0" fontId="35" fillId="0" borderId="0" xfId="4" applyFont="1" applyFill="1" applyBorder="1" applyAlignment="1">
      <alignment wrapText="1"/>
    </xf>
    <xf numFmtId="0" fontId="3" fillId="0" borderId="0" xfId="4" applyFill="1" applyBorder="1" applyAlignment="1"/>
    <xf numFmtId="0" fontId="3" fillId="0" borderId="0" xfId="4" applyFont="1" applyFill="1" applyBorder="1" applyAlignment="1">
      <alignment horizontal="center" wrapText="1"/>
    </xf>
    <xf numFmtId="2" fontId="28" fillId="0" borderId="0" xfId="4" applyNumberFormat="1" applyFont="1" applyFill="1" applyBorder="1" applyAlignment="1">
      <alignment horizontal="right" wrapText="1"/>
    </xf>
    <xf numFmtId="0" fontId="28" fillId="0" borderId="0" xfId="4" applyFont="1" applyFill="1" applyBorder="1" applyAlignment="1">
      <alignment horizontal="left" wrapText="1"/>
    </xf>
    <xf numFmtId="0" fontId="3" fillId="0" borderId="0" xfId="4" applyBorder="1" applyAlignment="1">
      <alignment horizontal="center" vertical="center" wrapText="1"/>
    </xf>
    <xf numFmtId="2" fontId="3" fillId="0" borderId="0" xfId="4" applyNumberFormat="1" applyBorder="1" applyAlignment="1">
      <alignment horizontal="center"/>
    </xf>
    <xf numFmtId="0" fontId="35" fillId="0" borderId="0" xfId="4" applyFont="1" applyBorder="1" applyAlignment="1">
      <alignment wrapText="1"/>
    </xf>
    <xf numFmtId="0" fontId="35" fillId="0" borderId="0" xfId="4" applyFont="1" applyBorder="1"/>
    <xf numFmtId="0" fontId="35" fillId="0" borderId="0" xfId="4" applyFont="1" applyBorder="1" applyAlignment="1">
      <alignment horizontal="left" wrapText="1"/>
    </xf>
    <xf numFmtId="0" fontId="3" fillId="0" borderId="0" xfId="4" applyBorder="1" applyAlignment="1">
      <alignment horizontal="center"/>
    </xf>
    <xf numFmtId="0" fontId="28" fillId="6" borderId="0" xfId="4" applyFont="1" applyFill="1" applyBorder="1"/>
    <xf numFmtId="2" fontId="28" fillId="6" borderId="0" xfId="4" applyNumberFormat="1" applyFont="1" applyFill="1" applyBorder="1"/>
    <xf numFmtId="0" fontId="3" fillId="0" borderId="0" xfId="4" applyBorder="1" applyAlignment="1">
      <alignment vertical="center" wrapText="1"/>
    </xf>
    <xf numFmtId="0" fontId="35" fillId="0" borderId="0" xfId="4" applyFont="1" applyBorder="1" applyAlignment="1"/>
    <xf numFmtId="0" fontId="35" fillId="0" borderId="0" xfId="4" applyFont="1" applyFill="1" applyBorder="1" applyAlignment="1">
      <alignment horizontal="left"/>
    </xf>
    <xf numFmtId="0" fontId="36" fillId="0" borderId="0" xfId="4" applyFont="1" applyBorder="1" applyAlignment="1"/>
    <xf numFmtId="0" fontId="36" fillId="0" borderId="0" xfId="4" applyFont="1" applyBorder="1" applyAlignment="1">
      <alignment horizontal="left" wrapText="1"/>
    </xf>
    <xf numFmtId="0" fontId="3" fillId="0" borderId="0" xfId="4" applyFont="1" applyBorder="1" applyAlignment="1">
      <alignment horizontal="center" wrapText="1"/>
    </xf>
    <xf numFmtId="0" fontId="3" fillId="0" borderId="0" xfId="4" applyFill="1"/>
    <xf numFmtId="43" fontId="5" fillId="0" borderId="83" xfId="5" applyFont="1" applyFill="1" applyBorder="1" applyAlignment="1" applyProtection="1">
      <alignment horizontal="right" vertical="center"/>
      <protection locked="0"/>
    </xf>
    <xf numFmtId="43" fontId="5" fillId="0" borderId="86" xfId="5" applyFont="1" applyFill="1" applyBorder="1" applyAlignment="1" applyProtection="1">
      <alignment horizontal="right" vertical="center"/>
      <protection locked="0"/>
    </xf>
    <xf numFmtId="43" fontId="5" fillId="0" borderId="35" xfId="5" applyFont="1" applyFill="1" applyBorder="1" applyAlignment="1" applyProtection="1">
      <alignment horizontal="right" vertical="center"/>
      <protection locked="0"/>
    </xf>
    <xf numFmtId="43" fontId="5" fillId="0" borderId="51" xfId="5" applyFont="1" applyFill="1" applyBorder="1" applyAlignment="1" applyProtection="1">
      <alignment horizontal="right" vertical="center"/>
      <protection locked="0"/>
    </xf>
    <xf numFmtId="43" fontId="5" fillId="0" borderId="33" xfId="5" applyFont="1" applyFill="1" applyBorder="1" applyAlignment="1" applyProtection="1">
      <alignment horizontal="center" vertical="center"/>
      <protection locked="0"/>
    </xf>
    <xf numFmtId="43" fontId="5" fillId="0" borderId="93" xfId="5" applyFont="1" applyFill="1" applyBorder="1" applyAlignment="1" applyProtection="1">
      <alignment horizontal="center" vertical="center"/>
      <protection locked="0"/>
    </xf>
    <xf numFmtId="43" fontId="5" fillId="0" borderId="94" xfId="5" applyFont="1" applyFill="1" applyBorder="1" applyAlignment="1" applyProtection="1">
      <alignment horizontal="center" vertical="center"/>
      <protection locked="0"/>
    </xf>
    <xf numFmtId="0" fontId="27" fillId="2" borderId="0" xfId="4" applyFont="1" applyFill="1" applyBorder="1"/>
    <xf numFmtId="43" fontId="31" fillId="2" borderId="0" xfId="5" applyFont="1" applyFill="1" applyBorder="1" applyAlignment="1" applyProtection="1">
      <alignment horizontal="right" vertical="center"/>
      <protection locked="0"/>
    </xf>
    <xf numFmtId="0" fontId="30" fillId="2" borderId="0" xfId="4"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center" wrapText="1"/>
      <protection locked="0"/>
    </xf>
    <xf numFmtId="0" fontId="9" fillId="0" borderId="56" xfId="1" applyFont="1" applyBorder="1" applyAlignment="1" applyProtection="1">
      <alignment horizontal="center" vertical="center"/>
      <protection locked="0"/>
    </xf>
    <xf numFmtId="0" fontId="30" fillId="0" borderId="57" xfId="4" applyFont="1" applyFill="1" applyBorder="1" applyAlignment="1" applyProtection="1">
      <alignment horizontal="center" vertical="center"/>
      <protection locked="0"/>
    </xf>
    <xf numFmtId="0" fontId="9" fillId="0" borderId="57" xfId="1" applyFont="1" applyFill="1" applyBorder="1" applyAlignment="1" applyProtection="1">
      <alignment horizontal="center" vertical="center" wrapText="1"/>
      <protection locked="0"/>
    </xf>
    <xf numFmtId="0" fontId="9" fillId="0" borderId="70" xfId="1" applyFont="1" applyFill="1" applyBorder="1" applyAlignment="1" applyProtection="1">
      <alignment horizontal="center" vertical="center" wrapText="1"/>
      <protection locked="0"/>
    </xf>
    <xf numFmtId="43" fontId="5" fillId="0" borderId="35" xfId="5" applyFont="1" applyFill="1" applyBorder="1" applyAlignment="1" applyProtection="1">
      <alignment horizontal="center" vertical="center"/>
      <protection locked="0"/>
    </xf>
    <xf numFmtId="43" fontId="5" fillId="0" borderId="0" xfId="5" applyFont="1" applyFill="1" applyBorder="1" applyAlignment="1" applyProtection="1">
      <alignment horizontal="center" vertical="center"/>
      <protection locked="0"/>
    </xf>
    <xf numFmtId="43" fontId="5" fillId="0" borderId="51" xfId="5" applyFont="1" applyFill="1" applyBorder="1" applyAlignment="1" applyProtection="1">
      <alignment horizontal="center" vertical="center"/>
      <protection locked="0"/>
    </xf>
    <xf numFmtId="2" fontId="0" fillId="0" borderId="0" xfId="0" applyNumberFormat="1" applyFont="1" applyBorder="1" applyAlignment="1"/>
    <xf numFmtId="0" fontId="0" fillId="0" borderId="0" xfId="0" applyFont="1" applyBorder="1" applyAlignment="1"/>
    <xf numFmtId="0" fontId="15" fillId="0" borderId="0" xfId="1" applyBorder="1"/>
    <xf numFmtId="4" fontId="8" fillId="0" borderId="0" xfId="0" applyNumberFormat="1" applyFont="1" applyBorder="1" applyAlignment="1">
      <alignment horizontal="center" vertical="center" wrapText="1"/>
    </xf>
    <xf numFmtId="0" fontId="10" fillId="0" borderId="17" xfId="0" applyNumberFormat="1" applyFont="1" applyFill="1" applyBorder="1" applyAlignment="1" applyProtection="1">
      <alignment horizontal="left" vertical="center" wrapText="1"/>
    </xf>
    <xf numFmtId="0" fontId="10" fillId="0" borderId="17" xfId="0" applyNumberFormat="1" applyFont="1" applyFill="1" applyBorder="1" applyAlignment="1" applyProtection="1">
      <alignment horizontal="center" vertical="center" wrapText="1"/>
    </xf>
    <xf numFmtId="49" fontId="7" fillId="3" borderId="23" xfId="0" applyNumberFormat="1" applyFont="1" applyFill="1" applyBorder="1" applyAlignment="1">
      <alignment horizontal="center" vertical="center" wrapText="1"/>
    </xf>
    <xf numFmtId="0" fontId="7" fillId="3" borderId="23" xfId="0" applyFont="1" applyFill="1" applyBorder="1" applyAlignment="1">
      <alignment horizontal="left" vertical="center" wrapText="1"/>
    </xf>
    <xf numFmtId="2" fontId="8" fillId="3" borderId="23" xfId="0" applyNumberFormat="1" applyFont="1" applyFill="1" applyBorder="1" applyAlignment="1">
      <alignment horizontal="center" vertical="center" wrapText="1"/>
    </xf>
    <xf numFmtId="4" fontId="8" fillId="3" borderId="23" xfId="0" applyNumberFormat="1" applyFont="1" applyFill="1" applyBorder="1" applyAlignment="1">
      <alignment horizontal="center" vertical="center" wrapText="1"/>
    </xf>
    <xf numFmtId="0" fontId="10" fillId="2" borderId="17" xfId="0" applyNumberFormat="1" applyFont="1" applyFill="1" applyBorder="1" applyAlignment="1" applyProtection="1">
      <alignment horizontal="center" vertical="center" wrapText="1"/>
    </xf>
    <xf numFmtId="0" fontId="9" fillId="0" borderId="95" xfId="1" applyFont="1" applyFill="1" applyBorder="1" applyAlignment="1" applyProtection="1">
      <alignment horizontal="center" vertical="center"/>
      <protection locked="0"/>
    </xf>
    <xf numFmtId="0" fontId="9" fillId="0" borderId="95" xfId="1" applyFont="1" applyFill="1" applyBorder="1" applyAlignment="1" applyProtection="1">
      <alignment horizontal="center" vertical="center" wrapText="1"/>
      <protection locked="0"/>
    </xf>
    <xf numFmtId="0" fontId="9" fillId="0" borderId="79" xfId="1" applyFont="1" applyFill="1" applyBorder="1" applyAlignment="1" applyProtection="1">
      <alignment horizontal="center" vertical="center"/>
      <protection locked="0"/>
    </xf>
    <xf numFmtId="0" fontId="9" fillId="0" borderId="96" xfId="1" applyFont="1" applyFill="1" applyBorder="1" applyAlignment="1" applyProtection="1">
      <alignment horizontal="center" vertical="center" wrapText="1"/>
      <protection locked="0"/>
    </xf>
    <xf numFmtId="0" fontId="9" fillId="0" borderId="15" xfId="1" applyFont="1" applyFill="1" applyBorder="1" applyAlignment="1" applyProtection="1">
      <alignment horizontal="center" vertical="center" wrapText="1"/>
      <protection locked="0"/>
    </xf>
    <xf numFmtId="0" fontId="5" fillId="2" borderId="0" xfId="4" applyFont="1" applyFill="1" applyAlignment="1" applyProtection="1">
      <alignment vertical="center"/>
      <protection locked="0"/>
    </xf>
    <xf numFmtId="0" fontId="5" fillId="0" borderId="102" xfId="4" applyFont="1" applyFill="1" applyBorder="1" applyAlignment="1" applyProtection="1">
      <alignment horizontal="center" vertical="center"/>
      <protection locked="0"/>
    </xf>
    <xf numFmtId="43" fontId="14" fillId="0" borderId="17" xfId="2" applyNumberFormat="1" applyFont="1" applyFill="1" applyBorder="1" applyAlignment="1" applyProtection="1">
      <alignment horizontal="right" vertical="center"/>
      <protection locked="0"/>
    </xf>
    <xf numFmtId="43" fontId="14" fillId="0" borderId="17" xfId="2" applyFont="1" applyFill="1" applyBorder="1" applyAlignment="1" applyProtection="1">
      <alignment horizontal="right" vertical="center"/>
      <protection locked="0"/>
    </xf>
    <xf numFmtId="167" fontId="14" fillId="0" borderId="17" xfId="2" applyNumberFormat="1" applyFont="1" applyFill="1" applyBorder="1" applyAlignment="1" applyProtection="1">
      <alignment horizontal="right" vertical="center"/>
      <protection locked="0"/>
    </xf>
    <xf numFmtId="43" fontId="14" fillId="0" borderId="60" xfId="2" applyFont="1" applyBorder="1" applyAlignment="1" applyProtection="1">
      <alignment vertical="center"/>
      <protection locked="0"/>
    </xf>
    <xf numFmtId="43" fontId="37" fillId="0" borderId="71" xfId="2" applyNumberFormat="1" applyFont="1" applyFill="1" applyBorder="1" applyAlignment="1" applyProtection="1">
      <alignment horizontal="right" vertical="center"/>
      <protection locked="0"/>
    </xf>
    <xf numFmtId="43" fontId="37" fillId="0" borderId="27" xfId="2" applyNumberFormat="1" applyFont="1" applyBorder="1" applyAlignment="1" applyProtection="1">
      <alignment vertical="center"/>
      <protection locked="0"/>
    </xf>
    <xf numFmtId="0" fontId="38" fillId="2" borderId="0" xfId="4" applyFont="1" applyFill="1" applyAlignment="1">
      <alignment vertical="center"/>
    </xf>
    <xf numFmtId="0" fontId="38" fillId="0" borderId="0" xfId="4" applyFont="1" applyAlignment="1">
      <alignment vertical="center"/>
    </xf>
    <xf numFmtId="0" fontId="19" fillId="0" borderId="56" xfId="4" applyFont="1" applyBorder="1" applyAlignment="1" applyProtection="1">
      <alignment horizontal="center" vertical="center"/>
      <protection locked="0"/>
    </xf>
    <xf numFmtId="0" fontId="19" fillId="0" borderId="57" xfId="4" applyFont="1" applyBorder="1" applyAlignment="1" applyProtection="1">
      <alignment horizontal="center" vertical="center"/>
      <protection locked="0"/>
    </xf>
    <xf numFmtId="0" fontId="19" fillId="0" borderId="57" xfId="4" applyFont="1" applyFill="1" applyBorder="1" applyAlignment="1" applyProtection="1">
      <alignment horizontal="center" vertical="center"/>
      <protection locked="0"/>
    </xf>
    <xf numFmtId="0" fontId="19" fillId="0" borderId="57" xfId="4" applyFont="1" applyFill="1" applyBorder="1" applyAlignment="1" applyProtection="1">
      <alignment horizontal="center" vertical="center" wrapText="1"/>
      <protection locked="0"/>
    </xf>
    <xf numFmtId="0" fontId="19" fillId="0" borderId="57" xfId="4" applyFont="1" applyBorder="1" applyAlignment="1" applyProtection="1">
      <alignment horizontal="center" vertical="center" wrapText="1"/>
      <protection locked="0"/>
    </xf>
    <xf numFmtId="0" fontId="19" fillId="0" borderId="70" xfId="4" applyFont="1" applyBorder="1" applyAlignment="1" applyProtection="1">
      <alignment horizontal="center" vertical="center" wrapText="1"/>
      <protection locked="0"/>
    </xf>
    <xf numFmtId="0" fontId="39" fillId="2" borderId="0" xfId="4" applyFont="1" applyFill="1"/>
    <xf numFmtId="0" fontId="39" fillId="0" borderId="0" xfId="4" applyFont="1"/>
    <xf numFmtId="0" fontId="8" fillId="0" borderId="17" xfId="0" applyFont="1" applyFill="1" applyBorder="1" applyAlignment="1">
      <alignment horizontal="center" vertical="center" wrapText="1"/>
    </xf>
    <xf numFmtId="0" fontId="0" fillId="0" borderId="0" xfId="0" applyFont="1" applyAlignment="1">
      <alignment vertical="center"/>
    </xf>
    <xf numFmtId="2" fontId="0" fillId="0" borderId="0" xfId="0" applyNumberFormat="1" applyFont="1" applyAlignment="1">
      <alignment vertical="center"/>
    </xf>
    <xf numFmtId="43" fontId="18" fillId="2" borderId="28" xfId="4" applyNumberFormat="1" applyFont="1" applyFill="1" applyBorder="1" applyAlignment="1">
      <alignment vertical="center"/>
    </xf>
    <xf numFmtId="43" fontId="18" fillId="2" borderId="29" xfId="4" applyNumberFormat="1" applyFont="1" applyFill="1" applyBorder="1" applyAlignment="1">
      <alignment vertical="center"/>
    </xf>
    <xf numFmtId="43" fontId="18" fillId="2" borderId="40" xfId="4" applyNumberFormat="1" applyFont="1" applyFill="1" applyBorder="1" applyAlignment="1">
      <alignment vertical="center"/>
    </xf>
    <xf numFmtId="43" fontId="38" fillId="2" borderId="28" xfId="4" applyNumberFormat="1" applyFont="1" applyFill="1" applyBorder="1" applyAlignment="1">
      <alignment vertical="center"/>
    </xf>
    <xf numFmtId="43" fontId="38" fillId="2" borderId="29" xfId="4" applyNumberFormat="1" applyFont="1" applyFill="1" applyBorder="1" applyAlignment="1">
      <alignment vertical="center"/>
    </xf>
    <xf numFmtId="43" fontId="38" fillId="2" borderId="40" xfId="4" applyNumberFormat="1" applyFont="1" applyFill="1" applyBorder="1" applyAlignment="1">
      <alignment vertical="center"/>
    </xf>
    <xf numFmtId="0" fontId="14" fillId="0" borderId="102" xfId="4" applyFont="1" applyFill="1" applyBorder="1" applyAlignment="1" applyProtection="1">
      <alignment horizontal="center" vertical="center"/>
      <protection locked="0"/>
    </xf>
    <xf numFmtId="0" fontId="2" fillId="2" borderId="0" xfId="4" applyFont="1" applyFill="1"/>
    <xf numFmtId="0" fontId="2" fillId="0" borderId="0" xfId="4" applyFont="1"/>
    <xf numFmtId="4" fontId="0" fillId="0" borderId="0" xfId="0" applyNumberFormat="1" applyFont="1" applyAlignment="1"/>
    <xf numFmtId="43" fontId="19" fillId="5" borderId="48" xfId="5" applyFont="1" applyFill="1" applyBorder="1" applyAlignment="1" applyProtection="1">
      <alignment horizontal="right" vertical="center"/>
      <protection locked="0"/>
    </xf>
    <xf numFmtId="43" fontId="19" fillId="5" borderId="28" xfId="5" applyFont="1" applyFill="1" applyBorder="1" applyAlignment="1" applyProtection="1">
      <alignment horizontal="right" vertical="center"/>
      <protection locked="0"/>
    </xf>
    <xf numFmtId="43" fontId="19" fillId="5" borderId="71" xfId="5" applyFont="1" applyFill="1" applyBorder="1" applyAlignment="1" applyProtection="1">
      <alignment horizontal="right" vertical="center"/>
      <protection locked="0"/>
    </xf>
    <xf numFmtId="43" fontId="40" fillId="2" borderId="0" xfId="5" applyFont="1" applyFill="1" applyBorder="1" applyAlignment="1" applyProtection="1">
      <alignment horizontal="right" vertical="center"/>
      <protection locked="0"/>
    </xf>
    <xf numFmtId="0" fontId="39" fillId="2" borderId="0" xfId="4" applyFont="1" applyFill="1" applyBorder="1"/>
    <xf numFmtId="0" fontId="39" fillId="0" borderId="0" xfId="4" applyFont="1" applyBorder="1"/>
    <xf numFmtId="0" fontId="40" fillId="2" borderId="0" xfId="4" applyFont="1" applyFill="1" applyAlignment="1" applyProtection="1">
      <alignment vertical="center"/>
      <protection locked="0"/>
    </xf>
    <xf numFmtId="0" fontId="19" fillId="0" borderId="103" xfId="4" applyFont="1" applyFill="1" applyBorder="1" applyAlignment="1" applyProtection="1">
      <alignment horizontal="center" vertical="center" wrapText="1"/>
      <protection locked="0"/>
    </xf>
    <xf numFmtId="0" fontId="19" fillId="0" borderId="104" xfId="4" applyFont="1" applyBorder="1" applyAlignment="1" applyProtection="1">
      <alignment horizontal="center" vertical="center" wrapText="1"/>
      <protection locked="0"/>
    </xf>
    <xf numFmtId="0" fontId="19" fillId="0" borderId="105" xfId="4" applyFont="1" applyBorder="1" applyAlignment="1" applyProtection="1">
      <alignment horizontal="center" vertical="center" wrapText="1"/>
      <protection locked="0"/>
    </xf>
    <xf numFmtId="0" fontId="19" fillId="0" borderId="106" xfId="4" applyFont="1" applyBorder="1" applyAlignment="1" applyProtection="1">
      <alignment horizontal="center" vertical="center" wrapText="1"/>
      <protection locked="0"/>
    </xf>
    <xf numFmtId="43" fontId="25" fillId="5" borderId="107" xfId="2" applyFont="1" applyFill="1" applyBorder="1" applyAlignment="1" applyProtection="1">
      <alignment horizontal="right" vertical="center"/>
      <protection locked="0"/>
    </xf>
    <xf numFmtId="43" fontId="25" fillId="5" borderId="108" xfId="2" applyFont="1" applyFill="1" applyBorder="1" applyAlignment="1" applyProtection="1">
      <alignment horizontal="right" vertical="center"/>
      <protection locked="0"/>
    </xf>
    <xf numFmtId="43" fontId="25" fillId="5" borderId="109" xfId="2" applyFont="1" applyFill="1" applyBorder="1" applyAlignment="1" applyProtection="1">
      <alignment horizontal="right" vertical="center"/>
      <protection locked="0"/>
    </xf>
    <xf numFmtId="43" fontId="41" fillId="5" borderId="108" xfId="2" applyFont="1" applyFill="1" applyBorder="1" applyAlignment="1" applyProtection="1">
      <alignment horizontal="right" vertical="center"/>
      <protection locked="0"/>
    </xf>
    <xf numFmtId="43" fontId="41" fillId="5" borderId="109" xfId="2" applyFont="1" applyFill="1" applyBorder="1" applyAlignment="1" applyProtection="1">
      <alignment horizontal="right" vertical="center"/>
      <protection locked="0"/>
    </xf>
    <xf numFmtId="43" fontId="5" fillId="0" borderId="17" xfId="2" applyFont="1" applyFill="1" applyBorder="1" applyAlignment="1" applyProtection="1">
      <alignment horizontal="right" vertical="center"/>
      <protection locked="0"/>
    </xf>
    <xf numFmtId="43" fontId="34" fillId="0" borderId="17" xfId="4" applyNumberFormat="1" applyFont="1" applyBorder="1" applyAlignment="1">
      <alignment vertical="center"/>
    </xf>
    <xf numFmtId="0" fontId="5" fillId="0" borderId="102" xfId="4" applyFont="1" applyFill="1" applyBorder="1" applyAlignment="1" applyProtection="1">
      <alignment horizontal="center" vertical="center" wrapText="1"/>
      <protection locked="0"/>
    </xf>
    <xf numFmtId="43" fontId="5" fillId="0" borderId="60" xfId="2" applyFont="1" applyBorder="1" applyAlignment="1" applyProtection="1">
      <alignment vertical="center"/>
      <protection locked="0"/>
    </xf>
    <xf numFmtId="0" fontId="5" fillId="0" borderId="41" xfId="4" applyFont="1" applyFill="1" applyBorder="1" applyAlignment="1" applyProtection="1">
      <alignment horizontal="center" vertical="center" wrapText="1"/>
      <protection locked="0"/>
    </xf>
    <xf numFmtId="43" fontId="5" fillId="0" borderId="20" xfId="2" applyFont="1" applyFill="1" applyBorder="1" applyAlignment="1" applyProtection="1">
      <alignment horizontal="right" vertical="center"/>
      <protection locked="0"/>
    </xf>
    <xf numFmtId="167" fontId="14" fillId="0" borderId="20" xfId="2" applyNumberFormat="1" applyFont="1" applyFill="1" applyBorder="1" applyAlignment="1" applyProtection="1">
      <alignment horizontal="right" vertical="center"/>
      <protection locked="0"/>
    </xf>
    <xf numFmtId="43" fontId="14" fillId="0" borderId="20" xfId="2" applyNumberFormat="1" applyFont="1" applyFill="1" applyBorder="1" applyAlignment="1" applyProtection="1">
      <alignment horizontal="right" vertical="center"/>
      <protection locked="0"/>
    </xf>
    <xf numFmtId="43" fontId="34" fillId="0" borderId="20" xfId="4" applyNumberFormat="1" applyFont="1" applyBorder="1" applyAlignment="1">
      <alignment vertical="center"/>
    </xf>
    <xf numFmtId="43" fontId="5" fillId="0" borderId="72" xfId="2" applyFont="1" applyBorder="1" applyAlignment="1" applyProtection="1">
      <alignment vertical="center"/>
      <protection locked="0"/>
    </xf>
    <xf numFmtId="43" fontId="37" fillId="0" borderId="32" xfId="2" applyNumberFormat="1" applyFont="1" applyFill="1" applyBorder="1" applyAlignment="1" applyProtection="1">
      <alignment horizontal="right" vertical="center"/>
      <protection locked="0"/>
    </xf>
    <xf numFmtId="0" fontId="19" fillId="0" borderId="103" xfId="4" applyFont="1" applyBorder="1" applyAlignment="1" applyProtection="1">
      <alignment horizontal="center" vertical="center" wrapText="1"/>
      <protection locked="0"/>
    </xf>
    <xf numFmtId="43" fontId="41" fillId="5" borderId="107" xfId="2" applyFont="1" applyFill="1" applyBorder="1" applyAlignment="1" applyProtection="1">
      <alignment horizontal="right" vertical="center"/>
      <protection locked="0"/>
    </xf>
    <xf numFmtId="164"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26" xfId="0" applyNumberFormat="1" applyFont="1" applyBorder="1" applyAlignment="1">
      <alignment horizontal="center" vertical="center" wrapText="1"/>
    </xf>
    <xf numFmtId="164" fontId="8" fillId="3" borderId="24" xfId="0" applyNumberFormat="1" applyFont="1" applyFill="1" applyBorder="1" applyAlignment="1">
      <alignment horizontal="center" vertical="center" wrapText="1"/>
    </xf>
    <xf numFmtId="164" fontId="8" fillId="3" borderId="25" xfId="0" applyNumberFormat="1" applyFont="1" applyFill="1" applyBorder="1" applyAlignment="1">
      <alignment horizontal="center" vertical="center" wrapText="1"/>
    </xf>
    <xf numFmtId="164" fontId="10" fillId="0" borderId="16" xfId="0" applyNumberFormat="1" applyFont="1" applyFill="1" applyBorder="1" applyAlignment="1" applyProtection="1">
      <alignment horizontal="right" vertical="center" wrapText="1"/>
    </xf>
    <xf numFmtId="164" fontId="13" fillId="0" borderId="17" xfId="0" applyNumberFormat="1" applyFont="1" applyBorder="1" applyAlignment="1">
      <alignment horizontal="right" vertical="center" wrapText="1"/>
    </xf>
    <xf numFmtId="164" fontId="0" fillId="0" borderId="0" xfId="0" applyNumberFormat="1" applyFont="1" applyAlignment="1"/>
    <xf numFmtId="43" fontId="5" fillId="0" borderId="17" xfId="5" applyFont="1" applyFill="1" applyBorder="1" applyAlignment="1" applyProtection="1">
      <alignment horizontal="center" vertical="center"/>
      <protection locked="0"/>
    </xf>
    <xf numFmtId="0" fontId="9" fillId="0" borderId="57" xfId="4" applyFont="1" applyFill="1" applyBorder="1" applyAlignment="1" applyProtection="1">
      <alignment horizontal="center" vertical="center" wrapText="1"/>
      <protection locked="0"/>
    </xf>
    <xf numFmtId="0" fontId="9" fillId="0" borderId="14" xfId="1" applyFont="1" applyFill="1" applyBorder="1" applyAlignment="1" applyProtection="1">
      <alignment horizontal="center" vertical="center" wrapText="1"/>
      <protection locked="0"/>
    </xf>
    <xf numFmtId="0" fontId="0" fillId="0" borderId="0" xfId="0" applyFont="1" applyFill="1" applyAlignment="1"/>
    <xf numFmtId="2" fontId="0" fillId="0" borderId="0" xfId="0" applyNumberFormat="1" applyFont="1" applyFill="1" applyAlignment="1"/>
    <xf numFmtId="164" fontId="13" fillId="0" borderId="17" xfId="0" applyNumberFormat="1" applyFont="1" applyFill="1" applyBorder="1" applyAlignment="1">
      <alignment horizontal="right" vertical="center" wrapText="1"/>
    </xf>
    <xf numFmtId="0" fontId="10" fillId="0" borderId="18" xfId="0" applyNumberFormat="1" applyFont="1" applyFill="1" applyBorder="1" applyAlignment="1" applyProtection="1">
      <alignment horizontal="left" vertical="center" wrapText="1"/>
    </xf>
    <xf numFmtId="0" fontId="10" fillId="2" borderId="16" xfId="0" applyNumberFormat="1" applyFont="1" applyFill="1" applyBorder="1" applyAlignment="1" applyProtection="1">
      <alignment horizontal="left" vertical="center" wrapText="1"/>
    </xf>
    <xf numFmtId="0" fontId="0" fillId="0" borderId="0" xfId="0" applyFont="1" applyFill="1" applyAlignment="1">
      <alignment vertical="center"/>
    </xf>
    <xf numFmtId="2" fontId="0" fillId="0" borderId="0" xfId="0" applyNumberFormat="1" applyFont="1" applyFill="1" applyAlignment="1">
      <alignment vertical="center"/>
    </xf>
    <xf numFmtId="0" fontId="0" fillId="0" borderId="90" xfId="0" applyBorder="1"/>
    <xf numFmtId="0" fontId="42" fillId="0" borderId="17" xfId="0" applyFont="1" applyBorder="1" applyAlignment="1">
      <alignment vertical="center"/>
    </xf>
    <xf numFmtId="0" fontId="42" fillId="0" borderId="17" xfId="0" applyFont="1" applyBorder="1" applyAlignment="1">
      <alignment horizontal="left" vertical="center"/>
    </xf>
    <xf numFmtId="0" fontId="42" fillId="0" borderId="17" xfId="0" applyFont="1" applyBorder="1" applyAlignment="1">
      <alignment vertical="center" wrapText="1"/>
    </xf>
    <xf numFmtId="0" fontId="42" fillId="0" borderId="17" xfId="0" applyFont="1" applyBorder="1" applyAlignment="1">
      <alignment horizontal="center" vertical="center"/>
    </xf>
    <xf numFmtId="0" fontId="42" fillId="0" borderId="110" xfId="0" applyFont="1" applyBorder="1" applyAlignment="1" applyProtection="1">
      <alignment horizontal="center" vertical="center"/>
    </xf>
    <xf numFmtId="0" fontId="42" fillId="0" borderId="110" xfId="0" applyFont="1" applyBorder="1" applyAlignment="1" applyProtection="1">
      <alignment horizontal="right" vertical="center"/>
    </xf>
    <xf numFmtId="0" fontId="43" fillId="0" borderId="17" xfId="0" applyFont="1" applyFill="1" applyBorder="1" applyAlignment="1" applyProtection="1">
      <alignment horizontal="centerContinuous" vertical="center" wrapText="1"/>
    </xf>
    <xf numFmtId="0" fontId="42" fillId="0" borderId="17" xfId="0" applyFont="1" applyFill="1" applyBorder="1" applyAlignment="1" applyProtection="1">
      <alignment horizontal="left" vertical="center" wrapText="1"/>
    </xf>
    <xf numFmtId="0" fontId="42" fillId="8" borderId="0" xfId="0" applyFont="1" applyFill="1" applyBorder="1" applyAlignment="1" applyProtection="1">
      <alignment horizontal="left" vertical="center" wrapText="1"/>
      <protection locked="0"/>
    </xf>
    <xf numFmtId="0" fontId="42" fillId="8" borderId="76" xfId="0" applyFont="1" applyFill="1" applyBorder="1" applyAlignment="1" applyProtection="1">
      <alignment horizontal="center" vertical="center"/>
      <protection locked="0"/>
    </xf>
    <xf numFmtId="17" fontId="42" fillId="8" borderId="17" xfId="0" applyNumberFormat="1" applyFont="1" applyFill="1" applyBorder="1" applyAlignment="1" applyProtection="1">
      <alignment horizontal="center" vertical="center"/>
      <protection locked="0"/>
    </xf>
    <xf numFmtId="164" fontId="42" fillId="0" borderId="110" xfId="0" applyNumberFormat="1" applyFont="1" applyBorder="1" applyAlignment="1" applyProtection="1">
      <alignment vertical="center"/>
    </xf>
    <xf numFmtId="0" fontId="43" fillId="0" borderId="17" xfId="0" applyFont="1" applyFill="1" applyBorder="1" applyAlignment="1">
      <alignment vertical="center"/>
    </xf>
    <xf numFmtId="0" fontId="43" fillId="0" borderId="17" xfId="0" applyFont="1" applyFill="1" applyBorder="1" applyAlignment="1">
      <alignment horizontal="left" vertical="center"/>
    </xf>
    <xf numFmtId="0" fontId="43" fillId="0" borderId="17" xfId="0" applyFont="1" applyFill="1" applyBorder="1" applyAlignment="1">
      <alignment horizontal="center" vertical="center"/>
    </xf>
    <xf numFmtId="0" fontId="43" fillId="8" borderId="44" xfId="0" applyFont="1" applyFill="1" applyBorder="1" applyAlignment="1" applyProtection="1">
      <alignment horizontal="center" vertical="center" wrapText="1"/>
      <protection locked="0"/>
    </xf>
    <xf numFmtId="0" fontId="43" fillId="8" borderId="44" xfId="0" applyFont="1" applyFill="1" applyBorder="1" applyAlignment="1" applyProtection="1">
      <alignment horizontal="left" vertical="center" wrapText="1"/>
      <protection locked="0"/>
    </xf>
    <xf numFmtId="0" fontId="43" fillId="8" borderId="44" xfId="0" applyFont="1" applyFill="1" applyBorder="1" applyAlignment="1" applyProtection="1">
      <alignment vertical="center" wrapText="1"/>
      <protection locked="0"/>
    </xf>
    <xf numFmtId="168" fontId="43" fillId="8" borderId="44" xfId="0" applyNumberFormat="1" applyFont="1" applyFill="1" applyBorder="1" applyAlignment="1" applyProtection="1">
      <alignment vertical="center" wrapText="1"/>
      <protection locked="0"/>
    </xf>
    <xf numFmtId="164" fontId="43" fillId="8" borderId="44" xfId="0" applyNumberFormat="1" applyFont="1" applyFill="1" applyBorder="1" applyAlignment="1" applyProtection="1">
      <alignment vertical="center" wrapText="1"/>
      <protection locked="0"/>
    </xf>
    <xf numFmtId="164" fontId="43" fillId="0" borderId="47" xfId="0" applyNumberFormat="1" applyFont="1" applyBorder="1" applyAlignment="1">
      <alignment vertical="center"/>
    </xf>
    <xf numFmtId="0" fontId="43" fillId="8" borderId="111" xfId="0" applyFont="1" applyFill="1" applyBorder="1" applyAlignment="1" applyProtection="1">
      <alignment vertical="center" wrapText="1"/>
      <protection locked="0"/>
    </xf>
    <xf numFmtId="0" fontId="43" fillId="8" borderId="111" xfId="0" applyFont="1" applyFill="1" applyBorder="1" applyAlignment="1" applyProtection="1">
      <alignment horizontal="center" vertical="center" wrapText="1"/>
      <protection locked="0"/>
    </xf>
    <xf numFmtId="164" fontId="43" fillId="0" borderId="44" xfId="0" applyNumberFormat="1" applyFont="1" applyBorder="1" applyAlignment="1">
      <alignment vertical="center"/>
    </xf>
    <xf numFmtId="0" fontId="42" fillId="7" borderId="19" xfId="0" applyFont="1" applyFill="1" applyBorder="1" applyAlignment="1">
      <alignment horizontal="center" vertical="center"/>
    </xf>
    <xf numFmtId="0" fontId="42" fillId="7" borderId="30" xfId="0" applyFont="1" applyFill="1" applyBorder="1" applyAlignment="1">
      <alignment horizontal="center" vertical="center"/>
    </xf>
    <xf numFmtId="0" fontId="42" fillId="7" borderId="110" xfId="0" applyFont="1" applyFill="1" applyBorder="1" applyAlignment="1">
      <alignment horizontal="center" vertical="center"/>
    </xf>
    <xf numFmtId="0" fontId="10" fillId="0" borderId="112" xfId="0" applyNumberFormat="1" applyFont="1" applyFill="1" applyBorder="1" applyAlignment="1" applyProtection="1">
      <alignment horizontal="left" vertical="center" wrapText="1"/>
    </xf>
    <xf numFmtId="0" fontId="10" fillId="0" borderId="20" xfId="0" applyNumberFormat="1" applyFont="1" applyFill="1" applyBorder="1" applyAlignment="1" applyProtection="1">
      <alignment horizontal="left" vertical="center" wrapText="1"/>
    </xf>
    <xf numFmtId="0" fontId="7" fillId="3" borderId="113" xfId="0" applyFont="1" applyFill="1" applyBorder="1" applyAlignment="1">
      <alignment horizontal="left" vertical="center" wrapText="1"/>
    </xf>
    <xf numFmtId="0" fontId="10" fillId="0" borderId="0" xfId="0" applyNumberFormat="1" applyFont="1" applyFill="1" applyBorder="1" applyAlignment="1" applyProtection="1">
      <alignment horizontal="left" vertical="center" wrapText="1"/>
    </xf>
    <xf numFmtId="0" fontId="7" fillId="3" borderId="115" xfId="0" applyFont="1" applyFill="1" applyBorder="1" applyAlignment="1">
      <alignment horizontal="left" vertical="center" wrapText="1"/>
    </xf>
    <xf numFmtId="0" fontId="31" fillId="0" borderId="0" xfId="0" applyFont="1" applyAlignment="1">
      <alignment vertical="center"/>
    </xf>
    <xf numFmtId="2" fontId="31" fillId="0" borderId="0" xfId="0" applyNumberFormat="1" applyFont="1" applyAlignment="1">
      <alignment vertical="center"/>
    </xf>
    <xf numFmtId="165" fontId="22" fillId="4" borderId="116" xfId="1" applyNumberFormat="1" applyFont="1" applyFill="1" applyBorder="1" applyAlignment="1">
      <alignment vertical="top" wrapText="1"/>
    </xf>
    <xf numFmtId="10" fontId="20" fillId="4" borderId="60" xfId="3" applyNumberFormat="1" applyFont="1" applyFill="1" applyBorder="1" applyAlignment="1">
      <alignment vertical="top" wrapText="1"/>
    </xf>
    <xf numFmtId="165" fontId="22" fillId="4" borderId="117" xfId="1" applyNumberFormat="1" applyFont="1" applyFill="1" applyBorder="1" applyAlignment="1">
      <alignment vertical="top" wrapText="1"/>
    </xf>
    <xf numFmtId="0" fontId="9" fillId="2" borderId="22" xfId="1" applyFont="1" applyFill="1" applyBorder="1" applyAlignment="1">
      <alignment wrapText="1"/>
    </xf>
    <xf numFmtId="0" fontId="9" fillId="2" borderId="22" xfId="1" applyFont="1" applyFill="1" applyBorder="1" applyAlignment="1">
      <alignment horizontal="center" wrapText="1"/>
    </xf>
    <xf numFmtId="0" fontId="5" fillId="2" borderId="22" xfId="1" applyFont="1" applyFill="1" applyBorder="1" applyAlignment="1">
      <alignment vertical="center" wrapText="1"/>
    </xf>
    <xf numFmtId="0" fontId="15" fillId="2" borderId="36" xfId="1" applyFill="1" applyBorder="1"/>
    <xf numFmtId="0" fontId="15" fillId="2" borderId="37" xfId="1" applyFill="1" applyBorder="1"/>
    <xf numFmtId="164" fontId="6" fillId="0" borderId="121" xfId="0" applyNumberFormat="1" applyFont="1" applyBorder="1" applyAlignment="1">
      <alignment horizontal="center" vertical="center"/>
    </xf>
    <xf numFmtId="43" fontId="19" fillId="5" borderId="122" xfId="5" applyFont="1" applyFill="1" applyBorder="1" applyAlignment="1" applyProtection="1">
      <alignment horizontal="right" vertical="center"/>
      <protection locked="0"/>
    </xf>
    <xf numFmtId="43" fontId="5" fillId="0" borderId="36" xfId="5" applyFont="1" applyFill="1" applyBorder="1" applyAlignment="1" applyProtection="1">
      <alignment horizontal="center" vertical="center"/>
      <protection locked="0"/>
    </xf>
    <xf numFmtId="43" fontId="5" fillId="0" borderId="36" xfId="5" applyFont="1" applyFill="1" applyBorder="1" applyAlignment="1" applyProtection="1">
      <alignment horizontal="right" vertical="center"/>
      <protection locked="0"/>
    </xf>
    <xf numFmtId="43" fontId="5" fillId="0" borderId="62" xfId="5" applyFont="1" applyFill="1" applyBorder="1" applyAlignment="1" applyProtection="1">
      <alignment horizontal="right" vertical="center"/>
      <protection locked="0"/>
    </xf>
    <xf numFmtId="164" fontId="6" fillId="0" borderId="11" xfId="0" applyNumberFormat="1" applyFont="1" applyBorder="1" applyAlignment="1">
      <alignment horizontal="center" vertical="center"/>
    </xf>
    <xf numFmtId="0" fontId="6" fillId="0" borderId="10" xfId="0" applyFont="1" applyBorder="1" applyAlignment="1">
      <alignment horizontal="center" vertical="center"/>
    </xf>
    <xf numFmtId="0" fontId="6" fillId="0" borderId="120" xfId="0" applyFont="1" applyBorder="1" applyAlignment="1">
      <alignment horizontal="center" vertical="center"/>
    </xf>
    <xf numFmtId="17" fontId="45" fillId="8" borderId="17" xfId="0" applyNumberFormat="1" applyFont="1" applyFill="1" applyBorder="1" applyAlignment="1" applyProtection="1">
      <alignment horizontal="center" vertical="center" wrapText="1"/>
      <protection locked="0"/>
    </xf>
    <xf numFmtId="10" fontId="6" fillId="0" borderId="119" xfId="6" applyNumberFormat="1" applyFont="1" applyBorder="1" applyAlignment="1">
      <alignment vertical="center"/>
    </xf>
    <xf numFmtId="0" fontId="10" fillId="2" borderId="0" xfId="0" applyNumberFormat="1" applyFont="1" applyFill="1" applyBorder="1" applyAlignment="1" applyProtection="1">
      <alignment horizontal="left" vertical="center" wrapText="1"/>
    </xf>
    <xf numFmtId="0" fontId="46" fillId="8" borderId="44" xfId="7" applyFont="1" applyFill="1" applyBorder="1" applyAlignment="1" applyProtection="1">
      <alignment horizontal="center" vertical="center" wrapText="1"/>
      <protection locked="0"/>
    </xf>
    <xf numFmtId="0" fontId="46" fillId="8" borderId="44" xfId="7" applyFont="1" applyFill="1" applyBorder="1" applyAlignment="1" applyProtection="1">
      <alignment vertical="center" wrapText="1"/>
      <protection locked="0"/>
    </xf>
    <xf numFmtId="0" fontId="47" fillId="8" borderId="44" xfId="7" applyFont="1" applyFill="1" applyBorder="1" applyAlignment="1" applyProtection="1">
      <alignment horizontal="center" vertical="center" wrapText="1"/>
      <protection locked="0"/>
    </xf>
    <xf numFmtId="0" fontId="47" fillId="8" borderId="44" xfId="7" applyFont="1" applyFill="1" applyBorder="1" applyAlignment="1" applyProtection="1">
      <alignment vertical="center" wrapText="1"/>
      <protection locked="0"/>
    </xf>
    <xf numFmtId="0" fontId="5" fillId="0" borderId="0" xfId="9"/>
    <xf numFmtId="0" fontId="42" fillId="0" borderId="17" xfId="9" applyFont="1" applyBorder="1" applyAlignment="1">
      <alignment vertical="center" wrapText="1"/>
    </xf>
    <xf numFmtId="0" fontId="42" fillId="0" borderId="17" xfId="9" applyFont="1" applyBorder="1" applyAlignment="1">
      <alignment horizontal="center" vertical="center"/>
    </xf>
    <xf numFmtId="14" fontId="42" fillId="0" borderId="19" xfId="9" applyNumberFormat="1" applyFont="1" applyBorder="1" applyAlignment="1">
      <alignment horizontal="center" vertical="center"/>
    </xf>
    <xf numFmtId="0" fontId="42" fillId="8" borderId="0" xfId="9" applyFont="1" applyFill="1" applyBorder="1" applyAlignment="1" applyProtection="1">
      <alignment vertical="center" wrapText="1"/>
      <protection locked="0"/>
    </xf>
    <xf numFmtId="0" fontId="42" fillId="8" borderId="76" xfId="9" applyFont="1" applyFill="1" applyBorder="1" applyAlignment="1" applyProtection="1">
      <alignment horizontal="center" vertical="center"/>
      <protection locked="0"/>
    </xf>
    <xf numFmtId="17" fontId="42" fillId="8" borderId="17" xfId="9" applyNumberFormat="1" applyFont="1" applyFill="1" applyBorder="1" applyAlignment="1" applyProtection="1">
      <alignment horizontal="center" vertical="center"/>
      <protection locked="0"/>
    </xf>
    <xf numFmtId="0" fontId="43" fillId="0" borderId="17" xfId="9" applyFont="1" applyFill="1" applyBorder="1" applyAlignment="1">
      <alignment vertical="center"/>
    </xf>
    <xf numFmtId="0" fontId="43" fillId="0" borderId="17" xfId="9" applyFont="1" applyFill="1" applyBorder="1" applyAlignment="1">
      <alignment horizontal="center" vertical="center"/>
    </xf>
    <xf numFmtId="14" fontId="43" fillId="0" borderId="17" xfId="9" applyNumberFormat="1" applyFont="1" applyFill="1" applyBorder="1" applyAlignment="1">
      <alignment horizontal="center" vertical="center"/>
    </xf>
    <xf numFmtId="0" fontId="46" fillId="8" borderId="44" xfId="9" applyFont="1" applyFill="1" applyBorder="1" applyAlignment="1" applyProtection="1">
      <alignment vertical="center" wrapText="1"/>
      <protection locked="0"/>
    </xf>
    <xf numFmtId="0" fontId="46" fillId="8" borderId="44" xfId="9" applyFont="1" applyFill="1" applyBorder="1" applyAlignment="1" applyProtection="1">
      <alignment horizontal="center" vertical="center" wrapText="1"/>
      <protection locked="0"/>
    </xf>
    <xf numFmtId="168" fontId="46" fillId="8" borderId="44" xfId="9" applyNumberFormat="1" applyFont="1" applyFill="1" applyBorder="1" applyAlignment="1" applyProtection="1">
      <alignment vertical="center" wrapText="1"/>
      <protection locked="0"/>
    </xf>
    <xf numFmtId="14" fontId="46" fillId="8" borderId="44" xfId="9" applyNumberFormat="1" applyFont="1" applyFill="1" applyBorder="1" applyAlignment="1" applyProtection="1">
      <alignment vertical="center" wrapText="1"/>
      <protection locked="0"/>
    </xf>
    <xf numFmtId="0" fontId="14" fillId="0" borderId="0" xfId="9" applyFont="1"/>
    <xf numFmtId="0" fontId="43" fillId="8" borderId="44" xfId="9" applyFont="1" applyFill="1" applyBorder="1" applyAlignment="1" applyProtection="1">
      <alignment vertical="center" wrapText="1"/>
      <protection locked="0"/>
    </xf>
    <xf numFmtId="0" fontId="43" fillId="8" borderId="44" xfId="9" applyFont="1" applyFill="1" applyBorder="1" applyAlignment="1" applyProtection="1">
      <alignment horizontal="center" vertical="center" wrapText="1"/>
      <protection locked="0"/>
    </xf>
    <xf numFmtId="168" fontId="43" fillId="8" borderId="44" xfId="9" applyNumberFormat="1" applyFont="1" applyFill="1" applyBorder="1" applyAlignment="1" applyProtection="1">
      <alignment vertical="center" wrapText="1"/>
      <protection locked="0"/>
    </xf>
    <xf numFmtId="14" fontId="43" fillId="8" borderId="44" xfId="9" applyNumberFormat="1" applyFont="1" applyFill="1" applyBorder="1" applyAlignment="1" applyProtection="1">
      <alignment vertical="center" wrapText="1"/>
      <protection locked="0"/>
    </xf>
    <xf numFmtId="0" fontId="13" fillId="0" borderId="0" xfId="9" applyFont="1" applyBorder="1" applyAlignment="1">
      <alignment vertical="center"/>
    </xf>
    <xf numFmtId="0" fontId="13" fillId="2" borderId="0" xfId="9" applyFont="1" applyFill="1" applyBorder="1" applyAlignment="1">
      <alignment horizontal="center" vertical="center"/>
    </xf>
    <xf numFmtId="0" fontId="9" fillId="2" borderId="0" xfId="9" applyFont="1" applyFill="1" applyBorder="1" applyAlignment="1">
      <alignment horizontal="center" vertical="center"/>
    </xf>
    <xf numFmtId="0" fontId="5" fillId="2" borderId="0" xfId="9" applyFont="1" applyFill="1" applyBorder="1" applyAlignment="1">
      <alignment horizontal="center" vertical="center"/>
    </xf>
    <xf numFmtId="0" fontId="13" fillId="0" borderId="0" xfId="9" applyFont="1" applyBorder="1" applyAlignment="1">
      <alignment horizontal="center" vertical="center"/>
    </xf>
    <xf numFmtId="0" fontId="5" fillId="2" borderId="0" xfId="9" applyFill="1"/>
    <xf numFmtId="0" fontId="13" fillId="2" borderId="0" xfId="9" applyFont="1" applyFill="1" applyBorder="1" applyAlignment="1">
      <alignment vertical="center"/>
    </xf>
    <xf numFmtId="0" fontId="5" fillId="2" borderId="0" xfId="9" applyFill="1" applyBorder="1"/>
    <xf numFmtId="0" fontId="23" fillId="2" borderId="0" xfId="9" applyFont="1" applyFill="1"/>
    <xf numFmtId="0" fontId="24" fillId="2" borderId="0" xfId="9" applyFont="1" applyFill="1"/>
    <xf numFmtId="0" fontId="5" fillId="0" borderId="13" xfId="9" applyBorder="1"/>
    <xf numFmtId="0" fontId="42" fillId="0" borderId="102" xfId="10" applyNumberFormat="1" applyFont="1" applyBorder="1" applyAlignment="1">
      <alignment horizontal="center" vertical="center"/>
    </xf>
    <xf numFmtId="0" fontId="42" fillId="0" borderId="34" xfId="9" applyFont="1" applyBorder="1" applyAlignment="1">
      <alignment horizontal="right" vertical="center"/>
    </xf>
    <xf numFmtId="0" fontId="42" fillId="0" borderId="102" xfId="9" applyFont="1" applyBorder="1" applyAlignment="1">
      <alignment horizontal="centerContinuous" vertical="center"/>
    </xf>
    <xf numFmtId="170" fontId="42" fillId="0" borderId="34" xfId="9" applyNumberFormat="1" applyFont="1" applyBorder="1" applyAlignment="1">
      <alignment vertical="center"/>
    </xf>
    <xf numFmtId="0" fontId="43" fillId="0" borderId="102" xfId="9" applyFont="1" applyFill="1" applyBorder="1" applyAlignment="1">
      <alignment vertical="center"/>
    </xf>
    <xf numFmtId="0" fontId="43" fillId="0" borderId="60" xfId="9" applyFont="1" applyFill="1" applyBorder="1" applyAlignment="1">
      <alignment horizontal="center" vertical="center"/>
    </xf>
    <xf numFmtId="0" fontId="46" fillId="8" borderId="126" xfId="9" applyFont="1" applyFill="1" applyBorder="1" applyAlignment="1" applyProtection="1">
      <alignment horizontal="left" vertical="center" wrapText="1"/>
      <protection locked="0"/>
    </xf>
    <xf numFmtId="164" fontId="46" fillId="8" borderId="127" xfId="9" applyNumberFormat="1" applyFont="1" applyFill="1" applyBorder="1" applyAlignment="1" applyProtection="1">
      <alignment vertical="center"/>
      <protection locked="0"/>
    </xf>
    <xf numFmtId="0" fontId="43" fillId="8" borderId="126" xfId="9" applyFont="1" applyFill="1" applyBorder="1" applyAlignment="1" applyProtection="1">
      <alignment horizontal="left" vertical="center" wrapText="1"/>
      <protection locked="0"/>
    </xf>
    <xf numFmtId="164" fontId="43" fillId="8" borderId="127" xfId="9" applyNumberFormat="1" applyFont="1" applyFill="1" applyBorder="1" applyAlignment="1" applyProtection="1">
      <alignment vertical="center"/>
      <protection locked="0"/>
    </xf>
    <xf numFmtId="0" fontId="13" fillId="0" borderId="17" xfId="0" applyFont="1" applyFill="1" applyBorder="1" applyAlignment="1">
      <alignment horizontal="center" vertical="center" wrapText="1"/>
    </xf>
    <xf numFmtId="0" fontId="49" fillId="0" borderId="17" xfId="0" applyNumberFormat="1" applyFont="1" applyFill="1" applyBorder="1" applyAlignment="1" applyProtection="1">
      <alignment horizontal="center" vertical="center" wrapText="1"/>
    </xf>
    <xf numFmtId="0" fontId="49" fillId="0" borderId="17" xfId="0" applyNumberFormat="1" applyFont="1" applyFill="1" applyBorder="1" applyAlignment="1" applyProtection="1">
      <alignment horizontal="left" vertical="center" wrapText="1"/>
    </xf>
    <xf numFmtId="2" fontId="13" fillId="0" borderId="17" xfId="0" applyNumberFormat="1" applyFont="1" applyBorder="1" applyAlignment="1">
      <alignment horizontal="center" vertical="center" wrapText="1"/>
    </xf>
    <xf numFmtId="4" fontId="49" fillId="0" borderId="17" xfId="0" applyNumberFormat="1" applyFont="1" applyFill="1" applyBorder="1" applyAlignment="1" applyProtection="1">
      <alignment horizontal="right" vertical="center"/>
    </xf>
    <xf numFmtId="164" fontId="49" fillId="0" borderId="16" xfId="0" applyNumberFormat="1" applyFont="1" applyFill="1" applyBorder="1" applyAlignment="1" applyProtection="1">
      <alignment horizontal="right" vertical="center" wrapText="1"/>
    </xf>
    <xf numFmtId="0" fontId="5" fillId="0" borderId="0" xfId="0" applyFont="1" applyAlignment="1">
      <alignment vertical="center"/>
    </xf>
    <xf numFmtId="2" fontId="5" fillId="0" borderId="0" xfId="0" applyNumberFormat="1" applyFont="1" applyAlignment="1">
      <alignment vertical="center"/>
    </xf>
    <xf numFmtId="4" fontId="49" fillId="0" borderId="17" xfId="0" applyNumberFormat="1" applyFont="1" applyFill="1" applyBorder="1" applyAlignment="1" applyProtection="1">
      <alignment horizontal="center" vertical="center"/>
    </xf>
    <xf numFmtId="0" fontId="50" fillId="2" borderId="17" xfId="0" applyFont="1" applyFill="1" applyBorder="1" applyAlignment="1">
      <alignment horizontal="center" vertical="center" wrapText="1"/>
    </xf>
    <xf numFmtId="0" fontId="51" fillId="2" borderId="17" xfId="0" applyNumberFormat="1" applyFont="1" applyFill="1" applyBorder="1" applyAlignment="1" applyProtection="1">
      <alignment horizontal="center" vertical="center" wrapText="1"/>
    </xf>
    <xf numFmtId="0" fontId="51" fillId="0" borderId="17" xfId="0" applyNumberFormat="1" applyFont="1" applyFill="1" applyBorder="1" applyAlignment="1" applyProtection="1">
      <alignment horizontal="left" vertical="center" wrapText="1"/>
    </xf>
    <xf numFmtId="0" fontId="51" fillId="0" borderId="17" xfId="0" applyNumberFormat="1" applyFont="1" applyFill="1" applyBorder="1" applyAlignment="1" applyProtection="1">
      <alignment horizontal="center" vertical="center"/>
    </xf>
    <xf numFmtId="4" fontId="51" fillId="0" borderId="17" xfId="0" applyNumberFormat="1" applyFont="1" applyFill="1" applyBorder="1" applyAlignment="1" applyProtection="1">
      <alignment horizontal="right" vertical="center"/>
    </xf>
    <xf numFmtId="164" fontId="51" fillId="0" borderId="19" xfId="0" applyNumberFormat="1" applyFont="1" applyFill="1" applyBorder="1" applyAlignment="1" applyProtection="1">
      <alignment horizontal="right" vertical="center"/>
    </xf>
    <xf numFmtId="164" fontId="50" fillId="0" borderId="17" xfId="0" applyNumberFormat="1" applyFont="1" applyBorder="1" applyAlignment="1">
      <alignment horizontal="right" vertical="center" wrapText="1"/>
    </xf>
    <xf numFmtId="0" fontId="14" fillId="0" borderId="0" xfId="0" applyFont="1" applyAlignment="1"/>
    <xf numFmtId="2" fontId="14" fillId="0" borderId="0" xfId="0" applyNumberFormat="1" applyFont="1" applyAlignment="1"/>
    <xf numFmtId="0" fontId="51" fillId="0" borderId="17" xfId="0" applyNumberFormat="1" applyFont="1" applyFill="1" applyBorder="1" applyAlignment="1" applyProtection="1">
      <alignment horizontal="center" vertical="center" wrapText="1"/>
    </xf>
    <xf numFmtId="0" fontId="51" fillId="0" borderId="16" xfId="0" applyNumberFormat="1" applyFont="1" applyFill="1" applyBorder="1" applyAlignment="1" applyProtection="1">
      <alignment horizontal="left" vertical="center" wrapText="1"/>
    </xf>
    <xf numFmtId="0" fontId="23" fillId="2" borderId="0" xfId="9" applyFont="1" applyFill="1" applyAlignment="1">
      <alignment horizontal="left" wrapText="1"/>
    </xf>
    <xf numFmtId="0" fontId="28" fillId="0" borderId="125" xfId="9" applyFont="1" applyBorder="1" applyAlignment="1">
      <alignment horizontal="center"/>
    </xf>
    <xf numFmtId="0" fontId="28" fillId="0" borderId="39" xfId="9" applyFont="1" applyBorder="1" applyAlignment="1">
      <alignment horizontal="center"/>
    </xf>
    <xf numFmtId="0" fontId="28" fillId="0" borderId="53" xfId="9" applyFont="1" applyBorder="1" applyAlignment="1">
      <alignment horizontal="center"/>
    </xf>
    <xf numFmtId="0" fontId="43" fillId="5" borderId="69" xfId="9" applyFont="1" applyFill="1" applyBorder="1" applyAlignment="1">
      <alignment horizontal="center" vertical="center" wrapText="1"/>
    </xf>
    <xf numFmtId="0" fontId="43" fillId="5" borderId="30" xfId="9" applyFont="1" applyFill="1" applyBorder="1" applyAlignment="1">
      <alignment horizontal="center" vertical="center" wrapText="1"/>
    </xf>
    <xf numFmtId="0" fontId="43" fillId="5" borderId="34" xfId="9" applyFont="1" applyFill="1" applyBorder="1" applyAlignment="1">
      <alignment horizontal="center" vertical="center" wrapText="1"/>
    </xf>
    <xf numFmtId="0" fontId="43" fillId="5" borderId="128" xfId="9" applyFont="1" applyFill="1" applyBorder="1" applyAlignment="1">
      <alignment horizontal="center" vertical="center" wrapText="1"/>
    </xf>
    <xf numFmtId="0" fontId="43" fillId="5" borderId="31" xfId="9" applyFont="1" applyFill="1" applyBorder="1" applyAlignment="1">
      <alignment horizontal="center" vertical="center" wrapText="1"/>
    </xf>
    <xf numFmtId="0" fontId="43" fillId="5" borderId="129" xfId="9" applyFont="1" applyFill="1" applyBorder="1" applyAlignment="1">
      <alignment horizontal="center" vertical="center" wrapText="1"/>
    </xf>
    <xf numFmtId="0" fontId="28" fillId="0" borderId="19" xfId="0" applyFont="1" applyBorder="1" applyAlignment="1">
      <alignment horizontal="center"/>
    </xf>
    <xf numFmtId="0" fontId="28" fillId="0" borderId="30" xfId="0" applyFont="1" applyBorder="1" applyAlignment="1">
      <alignment horizontal="center"/>
    </xf>
    <xf numFmtId="0" fontId="28" fillId="0" borderId="110" xfId="0" applyFont="1" applyBorder="1" applyAlignment="1">
      <alignment horizontal="center"/>
    </xf>
    <xf numFmtId="0" fontId="19" fillId="0" borderId="13" xfId="4" applyFont="1" applyFill="1" applyBorder="1" applyAlignment="1" applyProtection="1">
      <alignment horizontal="center" vertical="center"/>
      <protection locked="0"/>
    </xf>
    <xf numFmtId="0" fontId="19" fillId="0" borderId="14" xfId="4" applyFont="1" applyFill="1" applyBorder="1" applyAlignment="1" applyProtection="1">
      <alignment horizontal="center" vertical="center"/>
      <protection locked="0"/>
    </xf>
    <xf numFmtId="0" fontId="19" fillId="0" borderId="15" xfId="4" applyFont="1" applyFill="1" applyBorder="1" applyAlignment="1" applyProtection="1">
      <alignment horizontal="center" vertical="center"/>
      <protection locked="0"/>
    </xf>
    <xf numFmtId="0" fontId="9" fillId="0" borderId="79" xfId="1" applyFont="1" applyFill="1" applyBorder="1" applyAlignment="1" applyProtection="1">
      <alignment horizontal="center" vertical="center" wrapText="1"/>
      <protection locked="0"/>
    </xf>
    <xf numFmtId="0" fontId="9" fillId="0" borderId="14" xfId="1" applyFont="1" applyFill="1" applyBorder="1" applyAlignment="1" applyProtection="1">
      <alignment horizontal="center" vertical="center" wrapText="1"/>
      <protection locked="0"/>
    </xf>
    <xf numFmtId="0" fontId="37" fillId="0" borderId="28" xfId="4" applyFont="1" applyFill="1" applyBorder="1" applyAlignment="1">
      <alignment horizontal="center" vertical="center" wrapText="1"/>
    </xf>
    <xf numFmtId="0" fontId="37" fillId="0" borderId="29"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19" fillId="0" borderId="28" xfId="4" applyFont="1" applyFill="1" applyBorder="1" applyAlignment="1" applyProtection="1">
      <alignment horizontal="center" vertical="center"/>
      <protection locked="0"/>
    </xf>
    <xf numFmtId="0" fontId="19" fillId="0" borderId="29" xfId="4" applyFont="1" applyFill="1" applyBorder="1" applyAlignment="1" applyProtection="1">
      <alignment horizontal="center" vertical="center"/>
      <protection locked="0"/>
    </xf>
    <xf numFmtId="0" fontId="19" fillId="0" borderId="40" xfId="4" applyFont="1" applyFill="1" applyBorder="1" applyAlignment="1" applyProtection="1">
      <alignment horizontal="center" vertical="center"/>
      <protection locked="0"/>
    </xf>
    <xf numFmtId="43" fontId="14" fillId="0" borderId="20" xfId="2" applyNumberFormat="1" applyFont="1" applyFill="1" applyBorder="1" applyAlignment="1" applyProtection="1">
      <alignment vertical="center" wrapText="1"/>
      <protection locked="0"/>
    </xf>
    <xf numFmtId="43" fontId="14" fillId="0" borderId="25" xfId="2" applyNumberFormat="1" applyFont="1" applyFill="1" applyBorder="1" applyAlignment="1" applyProtection="1">
      <alignment vertical="center"/>
      <protection locked="0"/>
    </xf>
    <xf numFmtId="167" fontId="14" fillId="0" borderId="20" xfId="2" applyNumberFormat="1" applyFont="1" applyFill="1" applyBorder="1" applyAlignment="1" applyProtection="1">
      <alignment horizontal="center" vertical="center" wrapText="1"/>
      <protection locked="0"/>
    </xf>
    <xf numFmtId="167" fontId="14" fillId="0" borderId="25" xfId="2" applyNumberFormat="1" applyFont="1" applyFill="1" applyBorder="1" applyAlignment="1" applyProtection="1">
      <alignment horizontal="center" vertical="center"/>
      <protection locked="0"/>
    </xf>
    <xf numFmtId="0" fontId="29" fillId="0" borderId="28" xfId="4" applyFont="1" applyBorder="1" applyAlignment="1">
      <alignment horizontal="center"/>
    </xf>
    <xf numFmtId="0" fontId="29" fillId="0" borderId="29" xfId="4" applyFont="1" applyBorder="1" applyAlignment="1">
      <alignment horizontal="center"/>
    </xf>
    <xf numFmtId="0" fontId="29" fillId="0" borderId="40" xfId="4" applyFont="1" applyBorder="1" applyAlignment="1">
      <alignment horizontal="center"/>
    </xf>
    <xf numFmtId="0" fontId="3" fillId="2" borderId="13" xfId="4" applyFill="1" applyBorder="1" applyAlignment="1">
      <alignment horizontal="left"/>
    </xf>
    <xf numFmtId="0" fontId="3" fillId="2" borderId="14" xfId="4" applyFill="1" applyBorder="1" applyAlignment="1">
      <alignment horizontal="left"/>
    </xf>
    <xf numFmtId="0" fontId="3" fillId="2" borderId="15" xfId="4" applyFill="1" applyBorder="1" applyAlignment="1">
      <alignment horizontal="left"/>
    </xf>
    <xf numFmtId="0" fontId="3" fillId="2" borderId="21" xfId="4" applyFill="1" applyBorder="1" applyAlignment="1">
      <alignment horizontal="left"/>
    </xf>
    <xf numFmtId="0" fontId="3" fillId="2" borderId="0" xfId="4" applyFill="1" applyBorder="1" applyAlignment="1">
      <alignment horizontal="left"/>
    </xf>
    <xf numFmtId="0" fontId="3" fillId="2" borderId="22" xfId="4" applyFill="1" applyBorder="1" applyAlignment="1">
      <alignment horizontal="left"/>
    </xf>
    <xf numFmtId="0" fontId="3" fillId="2" borderId="48" xfId="4" applyFill="1" applyBorder="1" applyAlignment="1">
      <alignment horizontal="left"/>
    </xf>
    <xf numFmtId="0" fontId="3" fillId="2" borderId="36" xfId="4" applyFill="1" applyBorder="1" applyAlignment="1">
      <alignment horizontal="left"/>
    </xf>
    <xf numFmtId="0" fontId="3" fillId="2" borderId="37" xfId="4" applyFill="1" applyBorder="1" applyAlignment="1">
      <alignment horizontal="left"/>
    </xf>
    <xf numFmtId="43" fontId="5" fillId="0" borderId="17" xfId="2" applyFont="1" applyFill="1" applyBorder="1" applyAlignment="1" applyProtection="1">
      <alignment horizontal="center" vertical="center"/>
      <protection locked="0"/>
    </xf>
    <xf numFmtId="43" fontId="5" fillId="0" borderId="20" xfId="2" applyFont="1" applyFill="1" applyBorder="1" applyAlignment="1" applyProtection="1">
      <alignment horizontal="center" vertical="center"/>
      <protection locked="0"/>
    </xf>
    <xf numFmtId="43" fontId="18" fillId="2" borderId="68" xfId="4" applyNumberFormat="1" applyFont="1" applyFill="1" applyBorder="1" applyAlignment="1">
      <alignment horizontal="center" vertical="center"/>
    </xf>
    <xf numFmtId="43" fontId="18" fillId="2" borderId="32" xfId="4" applyNumberFormat="1" applyFont="1" applyFill="1" applyBorder="1" applyAlignment="1">
      <alignment horizontal="center" vertical="center"/>
    </xf>
    <xf numFmtId="167" fontId="14" fillId="0" borderId="101" xfId="2" applyNumberFormat="1" applyFont="1" applyFill="1" applyBorder="1" applyAlignment="1" applyProtection="1">
      <alignment horizontal="center" vertical="center"/>
      <protection locked="0"/>
    </xf>
    <xf numFmtId="0" fontId="5" fillId="2" borderId="102" xfId="1" applyFont="1" applyFill="1" applyBorder="1" applyAlignment="1" applyProtection="1">
      <alignment horizontal="center" vertical="center"/>
      <protection locked="0"/>
    </xf>
    <xf numFmtId="43" fontId="5" fillId="0" borderId="17" xfId="5" applyFont="1" applyFill="1" applyBorder="1" applyAlignment="1" applyProtection="1">
      <alignment horizontal="center" vertical="center"/>
      <protection locked="0"/>
    </xf>
    <xf numFmtId="43" fontId="5" fillId="0" borderId="20" xfId="5" applyFont="1" applyFill="1" applyBorder="1" applyAlignment="1" applyProtection="1">
      <alignment horizontal="center" vertical="center"/>
      <protection locked="0"/>
    </xf>
    <xf numFmtId="43" fontId="5" fillId="0" borderId="25" xfId="5" applyFont="1" applyFill="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5" fillId="0" borderId="75" xfId="1" applyFont="1" applyBorder="1" applyAlignment="1" applyProtection="1">
      <alignment horizontal="center" vertical="center"/>
      <protection locked="0"/>
    </xf>
    <xf numFmtId="43" fontId="5" fillId="0" borderId="76" xfId="5" applyFont="1" applyFill="1" applyBorder="1" applyAlignment="1" applyProtection="1">
      <alignment horizontal="center" vertical="center"/>
      <protection locked="0"/>
    </xf>
    <xf numFmtId="0" fontId="5" fillId="2" borderId="102" xfId="1" applyFont="1" applyFill="1" applyBorder="1" applyAlignment="1" applyProtection="1">
      <alignment horizontal="center" vertical="center" wrapText="1"/>
      <protection locked="0"/>
    </xf>
    <xf numFmtId="0" fontId="5" fillId="2" borderId="41" xfId="1" applyFont="1" applyFill="1" applyBorder="1" applyAlignment="1" applyProtection="1">
      <alignment horizontal="center" vertical="center"/>
      <protection locked="0"/>
    </xf>
    <xf numFmtId="0" fontId="5" fillId="2" borderId="73" xfId="1" applyFont="1" applyFill="1" applyBorder="1" applyAlignment="1" applyProtection="1">
      <alignment horizontal="center" vertical="center"/>
      <protection locked="0"/>
    </xf>
    <xf numFmtId="0" fontId="5" fillId="2" borderId="75" xfId="1" applyFont="1" applyFill="1" applyBorder="1" applyAlignment="1" applyProtection="1">
      <alignment horizontal="center" vertical="center"/>
      <protection locked="0"/>
    </xf>
    <xf numFmtId="43" fontId="9" fillId="0" borderId="28" xfId="5" applyFont="1" applyFill="1" applyBorder="1" applyAlignment="1" applyProtection="1">
      <alignment horizontal="center" vertical="center"/>
      <protection locked="0"/>
    </xf>
    <xf numFmtId="43" fontId="9" fillId="0" borderId="29" xfId="5" applyFont="1" applyFill="1" applyBorder="1" applyAlignment="1" applyProtection="1">
      <alignment horizontal="center" vertical="center"/>
      <protection locked="0"/>
    </xf>
    <xf numFmtId="43" fontId="5" fillId="0" borderId="85" xfId="5" applyFont="1" applyFill="1" applyBorder="1" applyAlignment="1" applyProtection="1">
      <alignment horizontal="center" vertical="center"/>
      <protection locked="0"/>
    </xf>
    <xf numFmtId="43" fontId="5" fillId="0" borderId="88" xfId="5" applyFont="1" applyFill="1" applyBorder="1" applyAlignment="1" applyProtection="1">
      <alignment horizontal="center" vertical="center"/>
      <protection locked="0"/>
    </xf>
    <xf numFmtId="43" fontId="5" fillId="0" borderId="89" xfId="5" applyFont="1" applyFill="1" applyBorder="1" applyAlignment="1" applyProtection="1">
      <alignment horizontal="center" vertical="center"/>
      <protection locked="0"/>
    </xf>
    <xf numFmtId="0" fontId="9" fillId="0" borderId="57" xfId="4" applyFont="1" applyFill="1" applyBorder="1" applyAlignment="1" applyProtection="1">
      <alignment horizontal="center" vertical="center" wrapText="1"/>
      <protection locked="0"/>
    </xf>
    <xf numFmtId="43" fontId="5" fillId="0" borderId="87" xfId="5" applyFont="1" applyFill="1" applyBorder="1" applyAlignment="1" applyProtection="1">
      <alignment horizontal="center" vertical="center"/>
      <protection locked="0"/>
    </xf>
    <xf numFmtId="43" fontId="5" fillId="0" borderId="81" xfId="5" applyFont="1" applyFill="1" applyBorder="1" applyAlignment="1" applyProtection="1">
      <alignment horizontal="center" vertical="center"/>
      <protection locked="0"/>
    </xf>
    <xf numFmtId="43" fontId="5" fillId="0" borderId="84" xfId="5" applyFont="1" applyFill="1" applyBorder="1" applyAlignment="1" applyProtection="1">
      <alignment horizontal="center" vertical="center"/>
      <protection locked="0"/>
    </xf>
    <xf numFmtId="43" fontId="5" fillId="2" borderId="0" xfId="5" applyFont="1" applyFill="1" applyBorder="1" applyAlignment="1" applyProtection="1">
      <alignment horizontal="center" vertical="center"/>
      <protection locked="0"/>
    </xf>
    <xf numFmtId="0" fontId="30" fillId="0" borderId="48" xfId="1" applyFont="1" applyFill="1" applyBorder="1" applyAlignment="1">
      <alignment horizontal="center" vertical="center" wrapText="1"/>
    </xf>
    <xf numFmtId="0" fontId="30" fillId="0" borderId="36" xfId="1" applyFont="1" applyFill="1" applyBorder="1" applyAlignment="1">
      <alignment horizontal="center" vertical="center" wrapText="1"/>
    </xf>
    <xf numFmtId="0" fontId="30" fillId="0" borderId="37" xfId="1" applyFont="1" applyFill="1" applyBorder="1" applyAlignment="1">
      <alignment horizontal="center" vertical="center" wrapText="1"/>
    </xf>
    <xf numFmtId="43" fontId="5" fillId="0" borderId="72" xfId="5" applyFont="1" applyFill="1" applyBorder="1" applyAlignment="1" applyProtection="1">
      <alignment horizontal="center" vertical="center"/>
      <protection locked="0"/>
    </xf>
    <xf numFmtId="43" fontId="5" fillId="0" borderId="74" xfId="5" applyFont="1" applyFill="1" applyBorder="1" applyAlignment="1" applyProtection="1">
      <alignment horizontal="center" vertical="center"/>
      <protection locked="0"/>
    </xf>
    <xf numFmtId="43" fontId="5" fillId="0" borderId="77" xfId="5" applyFont="1" applyFill="1" applyBorder="1" applyAlignment="1" applyProtection="1">
      <alignment horizontal="center" vertical="center"/>
      <protection locked="0"/>
    </xf>
    <xf numFmtId="2" fontId="14" fillId="0" borderId="20" xfId="4" applyNumberFormat="1" applyFont="1" applyFill="1" applyBorder="1" applyAlignment="1" applyProtection="1">
      <alignment horizontal="center" vertical="center"/>
      <protection locked="0"/>
    </xf>
    <xf numFmtId="2" fontId="14" fillId="0" borderId="25" xfId="4" applyNumberFormat="1" applyFont="1" applyFill="1" applyBorder="1" applyAlignment="1" applyProtection="1">
      <alignment horizontal="center" vertical="center"/>
      <protection locked="0"/>
    </xf>
    <xf numFmtId="2" fontId="14" fillId="0" borderId="76" xfId="4" applyNumberFormat="1" applyFont="1" applyFill="1" applyBorder="1" applyAlignment="1" applyProtection="1">
      <alignment horizontal="center" vertical="center"/>
      <protection locked="0"/>
    </xf>
    <xf numFmtId="43" fontId="5" fillId="0" borderId="90" xfId="5" applyFont="1" applyFill="1" applyBorder="1" applyAlignment="1" applyProtection="1">
      <alignment horizontal="center" vertical="center"/>
      <protection locked="0"/>
    </xf>
    <xf numFmtId="43" fontId="5" fillId="0" borderId="91" xfId="5" applyFont="1" applyFill="1" applyBorder="1" applyAlignment="1" applyProtection="1">
      <alignment horizontal="center" vertical="center"/>
      <protection locked="0"/>
    </xf>
    <xf numFmtId="43" fontId="5" fillId="0" borderId="92" xfId="5" applyFont="1" applyFill="1" applyBorder="1" applyAlignment="1" applyProtection="1">
      <alignment horizontal="center" vertical="center"/>
      <protection locked="0"/>
    </xf>
    <xf numFmtId="0" fontId="5" fillId="2" borderId="123" xfId="1" applyFont="1" applyFill="1" applyBorder="1" applyAlignment="1" applyProtection="1">
      <alignment horizontal="center" vertical="center"/>
      <protection locked="0"/>
    </xf>
    <xf numFmtId="2" fontId="14" fillId="0" borderId="17" xfId="4" applyNumberFormat="1" applyFont="1" applyFill="1" applyBorder="1" applyAlignment="1" applyProtection="1">
      <alignment horizontal="center" vertical="center"/>
      <protection locked="0"/>
    </xf>
    <xf numFmtId="0" fontId="5" fillId="2" borderId="41" xfId="1" applyFont="1" applyFill="1" applyBorder="1" applyAlignment="1" applyProtection="1">
      <alignment horizontal="center" vertical="center" wrapText="1"/>
      <protection locked="0"/>
    </xf>
    <xf numFmtId="0" fontId="5" fillId="2" borderId="73" xfId="1" applyFont="1" applyFill="1" applyBorder="1" applyAlignment="1" applyProtection="1">
      <alignment horizontal="center" vertical="center" wrapText="1"/>
      <protection locked="0"/>
    </xf>
    <xf numFmtId="0" fontId="5" fillId="2" borderId="75" xfId="1" applyFont="1" applyFill="1" applyBorder="1" applyAlignment="1" applyProtection="1">
      <alignment horizontal="center" vertical="center" wrapText="1"/>
      <protection locked="0"/>
    </xf>
    <xf numFmtId="0" fontId="30" fillId="0" borderId="28" xfId="1" applyFont="1" applyFill="1" applyBorder="1" applyAlignment="1" applyProtection="1">
      <alignment horizontal="center" vertical="center"/>
      <protection locked="0"/>
    </xf>
    <xf numFmtId="0" fontId="30" fillId="0" borderId="29" xfId="1" applyFont="1" applyFill="1" applyBorder="1" applyAlignment="1" applyProtection="1">
      <alignment horizontal="center" vertical="center"/>
      <protection locked="0"/>
    </xf>
    <xf numFmtId="0" fontId="30" fillId="0" borderId="40" xfId="1" applyFont="1" applyFill="1" applyBorder="1" applyAlignment="1" applyProtection="1">
      <alignment horizontal="center" vertical="center"/>
      <protection locked="0"/>
    </xf>
    <xf numFmtId="2" fontId="14" fillId="0" borderId="20" xfId="4" applyNumberFormat="1" applyFont="1" applyFill="1" applyBorder="1" applyAlignment="1" applyProtection="1">
      <alignment horizontal="right" vertical="center"/>
      <protection locked="0"/>
    </xf>
    <xf numFmtId="2" fontId="14" fillId="0" borderId="25" xfId="4" applyNumberFormat="1" applyFont="1" applyFill="1" applyBorder="1" applyAlignment="1" applyProtection="1">
      <alignment horizontal="right" vertical="center"/>
      <protection locked="0"/>
    </xf>
    <xf numFmtId="2" fontId="14" fillId="0" borderId="76" xfId="4" applyNumberFormat="1" applyFont="1" applyFill="1" applyBorder="1" applyAlignment="1" applyProtection="1">
      <alignment horizontal="right" vertical="center"/>
      <protection locked="0"/>
    </xf>
    <xf numFmtId="2" fontId="14" fillId="2" borderId="72" xfId="4" applyNumberFormat="1" applyFont="1" applyFill="1" applyBorder="1" applyAlignment="1" applyProtection="1">
      <alignment horizontal="right" vertical="center"/>
      <protection locked="0"/>
    </xf>
    <xf numFmtId="2" fontId="14" fillId="2" borderId="74" xfId="4" applyNumberFormat="1" applyFont="1" applyFill="1" applyBorder="1" applyAlignment="1" applyProtection="1">
      <alignment horizontal="right" vertical="center"/>
      <protection locked="0"/>
    </xf>
    <xf numFmtId="2" fontId="14" fillId="2" borderId="77" xfId="4" applyNumberFormat="1" applyFont="1" applyFill="1" applyBorder="1" applyAlignment="1" applyProtection="1">
      <alignment horizontal="right" vertical="center"/>
      <protection locked="0"/>
    </xf>
    <xf numFmtId="2" fontId="14" fillId="0" borderId="17" xfId="4" applyNumberFormat="1" applyFont="1" applyFill="1" applyBorder="1" applyAlignment="1" applyProtection="1">
      <alignment horizontal="right" vertical="center"/>
      <protection locked="0"/>
    </xf>
    <xf numFmtId="43" fontId="30" fillId="0" borderId="28" xfId="5" applyFont="1" applyFill="1" applyBorder="1" applyAlignment="1" applyProtection="1">
      <alignment horizontal="center" vertical="center"/>
      <protection locked="0"/>
    </xf>
    <xf numFmtId="43" fontId="30" fillId="0" borderId="29" xfId="5" applyFont="1" applyFill="1" applyBorder="1" applyAlignment="1" applyProtection="1">
      <alignment horizontal="center" vertical="center"/>
      <protection locked="0"/>
    </xf>
    <xf numFmtId="43" fontId="30" fillId="0" borderId="40" xfId="5" applyFont="1" applyFill="1" applyBorder="1" applyAlignment="1" applyProtection="1">
      <alignment horizontal="center" vertical="center"/>
      <protection locked="0"/>
    </xf>
    <xf numFmtId="2" fontId="14" fillId="0" borderId="101" xfId="4" applyNumberFormat="1" applyFont="1" applyFill="1" applyBorder="1" applyAlignment="1" applyProtection="1">
      <alignment horizontal="center" vertical="center"/>
      <protection locked="0"/>
    </xf>
    <xf numFmtId="2" fontId="14" fillId="0" borderId="101" xfId="4" applyNumberFormat="1" applyFont="1" applyFill="1" applyBorder="1" applyAlignment="1" applyProtection="1">
      <alignment horizontal="right" vertical="center"/>
      <protection locked="0"/>
    </xf>
    <xf numFmtId="43" fontId="5" fillId="0" borderId="101" xfId="5" applyFont="1" applyFill="1" applyBorder="1" applyAlignment="1" applyProtection="1">
      <alignment horizontal="center" vertical="center"/>
      <protection locked="0"/>
    </xf>
    <xf numFmtId="43" fontId="5" fillId="0" borderId="124" xfId="5" applyFont="1" applyFill="1" applyBorder="1" applyAlignment="1" applyProtection="1">
      <alignment horizontal="center" vertical="center"/>
      <protection locked="0"/>
    </xf>
    <xf numFmtId="43" fontId="5" fillId="0" borderId="82" xfId="5" applyFont="1" applyFill="1" applyBorder="1" applyAlignment="1" applyProtection="1">
      <alignment horizontal="center" vertical="center"/>
      <protection locked="0"/>
    </xf>
    <xf numFmtId="43" fontId="5" fillId="0" borderId="97" xfId="5" applyFont="1" applyFill="1" applyBorder="1" applyAlignment="1" applyProtection="1">
      <alignment horizontal="center" vertical="center"/>
      <protection locked="0"/>
    </xf>
    <xf numFmtId="43" fontId="5" fillId="0" borderId="98" xfId="5" applyFont="1" applyFill="1" applyBorder="1" applyAlignment="1" applyProtection="1">
      <alignment horizontal="center" vertical="center"/>
      <protection locked="0"/>
    </xf>
    <xf numFmtId="43" fontId="5" fillId="0" borderId="99" xfId="5" applyFont="1" applyFill="1" applyBorder="1" applyAlignment="1" applyProtection="1">
      <alignment horizontal="center" vertical="center"/>
      <protection locked="0"/>
    </xf>
    <xf numFmtId="43" fontId="5" fillId="0" borderId="22" xfId="5" applyFont="1" applyFill="1" applyBorder="1" applyAlignment="1" applyProtection="1">
      <alignment horizontal="center" vertical="center"/>
      <protection locked="0"/>
    </xf>
    <xf numFmtId="43" fontId="5" fillId="0" borderId="100" xfId="5" applyFont="1" applyFill="1" applyBorder="1" applyAlignment="1" applyProtection="1">
      <alignment horizontal="center" vertical="center"/>
      <protection locked="0"/>
    </xf>
    <xf numFmtId="43" fontId="5" fillId="0" borderId="37" xfId="5" applyFont="1" applyFill="1" applyBorder="1" applyAlignment="1" applyProtection="1">
      <alignment horizontal="center" vertical="center"/>
      <protection locked="0"/>
    </xf>
    <xf numFmtId="4" fontId="10" fillId="0" borderId="17" xfId="0" applyNumberFormat="1" applyFont="1" applyFill="1" applyBorder="1" applyAlignment="1" applyProtection="1">
      <alignment horizontal="left" vertical="center" wrapText="1"/>
    </xf>
    <xf numFmtId="0" fontId="18" fillId="3" borderId="65" xfId="1" applyFont="1" applyFill="1" applyBorder="1" applyAlignment="1" applyProtection="1">
      <alignment horizontal="left" vertical="center" wrapText="1"/>
      <protection locked="0"/>
    </xf>
    <xf numFmtId="0" fontId="18" fillId="3" borderId="66" xfId="1" applyFont="1" applyFill="1" applyBorder="1" applyAlignment="1" applyProtection="1">
      <alignment horizontal="left" vertical="center" wrapText="1"/>
      <protection locked="0"/>
    </xf>
    <xf numFmtId="0" fontId="17" fillId="3" borderId="67" xfId="1" applyFont="1" applyFill="1" applyBorder="1" applyAlignment="1" applyProtection="1">
      <alignment horizontal="center" vertical="center" wrapText="1"/>
      <protection locked="0"/>
    </xf>
    <xf numFmtId="0" fontId="17" fillId="3" borderId="52" xfId="1" applyFont="1" applyFill="1" applyBorder="1" applyAlignment="1" applyProtection="1">
      <alignment horizontal="center" vertical="center" wrapText="1"/>
      <protection locked="0"/>
    </xf>
    <xf numFmtId="0" fontId="18" fillId="3" borderId="114" xfId="1" applyFont="1" applyFill="1" applyBorder="1" applyAlignment="1" applyProtection="1">
      <alignment horizontal="left" vertical="center" wrapText="1"/>
      <protection locked="0"/>
    </xf>
    <xf numFmtId="0" fontId="18" fillId="3" borderId="93" xfId="1" applyFont="1" applyFill="1" applyBorder="1" applyAlignment="1" applyProtection="1">
      <alignment horizontal="left" vertical="center" wrapText="1"/>
      <protection locked="0"/>
    </xf>
    <xf numFmtId="4" fontId="10" fillId="0" borderId="0" xfId="0" applyNumberFormat="1" applyFont="1" applyFill="1" applyBorder="1" applyAlignment="1" applyProtection="1">
      <alignment horizontal="left" vertical="center" wrapText="1"/>
    </xf>
    <xf numFmtId="0" fontId="16" fillId="0" borderId="38" xfId="1" applyFont="1" applyBorder="1" applyAlignment="1">
      <alignment horizontal="center" vertical="center"/>
    </xf>
    <xf numFmtId="0" fontId="16" fillId="0" borderId="39" xfId="1" applyFont="1" applyBorder="1" applyAlignment="1">
      <alignment horizontal="center" vertical="center"/>
    </xf>
    <xf numFmtId="0" fontId="16" fillId="0" borderId="53" xfId="1" applyFont="1" applyBorder="1" applyAlignment="1">
      <alignment horizontal="center" vertical="center"/>
    </xf>
    <xf numFmtId="0" fontId="25" fillId="0" borderId="69" xfId="1" applyFont="1" applyFill="1" applyBorder="1" applyAlignment="1">
      <alignment horizontal="left" vertical="center"/>
    </xf>
    <xf numFmtId="0" fontId="25" fillId="0" borderId="30" xfId="1" applyFont="1" applyFill="1" applyBorder="1" applyAlignment="1">
      <alignment horizontal="left" vertical="center"/>
    </xf>
    <xf numFmtId="0" fontId="25" fillId="0" borderId="34" xfId="1" applyFont="1" applyFill="1" applyBorder="1" applyAlignment="1">
      <alignment horizontal="left" vertical="center"/>
    </xf>
    <xf numFmtId="164" fontId="19" fillId="3" borderId="32" xfId="1" applyNumberFormat="1" applyFont="1" applyFill="1" applyBorder="1" applyAlignment="1">
      <alignment horizontal="center" vertical="center" wrapText="1"/>
    </xf>
    <xf numFmtId="164" fontId="19" fillId="3" borderId="27" xfId="1" applyNumberFormat="1" applyFont="1" applyFill="1" applyBorder="1" applyAlignment="1">
      <alignment horizontal="center" vertical="center" wrapText="1"/>
    </xf>
    <xf numFmtId="0" fontId="5" fillId="0" borderId="0" xfId="0" applyFont="1" applyBorder="1"/>
    <xf numFmtId="0" fontId="5"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wrapText="1"/>
    </xf>
    <xf numFmtId="0" fontId="5" fillId="0" borderId="8" xfId="0" applyFont="1" applyBorder="1" applyAlignment="1">
      <alignment wrapText="1"/>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left" vertical="center" wrapText="1"/>
    </xf>
    <xf numFmtId="164" fontId="6" fillId="0" borderId="9" xfId="0" applyNumberFormat="1" applyFont="1" applyBorder="1" applyAlignment="1">
      <alignment horizontal="left" vertical="center"/>
    </xf>
    <xf numFmtId="164" fontId="5" fillId="0" borderId="7" xfId="0" applyNumberFormat="1" applyFont="1" applyBorder="1"/>
    <xf numFmtId="0" fontId="6" fillId="0" borderId="118" xfId="0" applyFont="1" applyBorder="1" applyAlignment="1">
      <alignment horizontal="left" vertical="center" wrapText="1"/>
    </xf>
    <xf numFmtId="0" fontId="6" fillId="0" borderId="11" xfId="0" applyFont="1" applyBorder="1" applyAlignment="1">
      <alignment horizontal="left" vertical="center" wrapText="1"/>
    </xf>
    <xf numFmtId="0" fontId="6" fillId="0" borderId="36" xfId="0" applyFont="1" applyBorder="1" applyAlignment="1">
      <alignment horizontal="left" vertical="center" wrapText="1"/>
    </xf>
    <xf numFmtId="0" fontId="6" fillId="0" borderId="119" xfId="0" applyFont="1" applyBorder="1" applyAlignment="1">
      <alignment horizontal="left" vertical="center" wrapText="1"/>
    </xf>
    <xf numFmtId="0" fontId="5" fillId="0" borderId="1" xfId="0" applyFont="1" applyBorder="1"/>
    <xf numFmtId="0" fontId="5" fillId="0" borderId="14" xfId="0" applyFont="1" applyBorder="1"/>
    <xf numFmtId="0" fontId="5" fillId="0" borderId="4" xfId="0" applyFont="1" applyBorder="1" applyAlignment="1">
      <alignment vertical="center"/>
    </xf>
    <xf numFmtId="0" fontId="5" fillId="0" borderId="5" xfId="0" applyFont="1" applyBorder="1" applyAlignment="1">
      <alignment vertical="center"/>
    </xf>
    <xf numFmtId="164" fontId="6" fillId="0" borderId="6" xfId="0" applyNumberFormat="1" applyFont="1" applyBorder="1" applyAlignment="1">
      <alignment horizontal="left" vertical="center"/>
    </xf>
    <xf numFmtId="164" fontId="5" fillId="0" borderId="4" xfId="0" applyNumberFormat="1" applyFont="1" applyBorder="1"/>
    <xf numFmtId="0" fontId="9" fillId="0" borderId="2" xfId="0" applyFont="1" applyBorder="1" applyAlignment="1">
      <alignment horizontal="center" vertical="center"/>
    </xf>
    <xf numFmtId="0" fontId="9" fillId="4" borderId="51" xfId="1" applyFont="1" applyFill="1" applyBorder="1" applyAlignment="1">
      <alignment horizontal="center" wrapText="1"/>
    </xf>
    <xf numFmtId="0" fontId="15" fillId="4" borderId="20" xfId="1" applyFill="1" applyBorder="1" applyAlignment="1">
      <alignment horizontal="left" vertical="center" wrapText="1"/>
    </xf>
    <xf numFmtId="0" fontId="15" fillId="4" borderId="42" xfId="1" applyFill="1" applyBorder="1" applyAlignment="1">
      <alignment horizontal="left" vertical="center" wrapText="1"/>
    </xf>
    <xf numFmtId="0" fontId="15" fillId="4" borderId="41" xfId="1" applyFill="1" applyBorder="1" applyAlignment="1">
      <alignment horizontal="center" vertical="center" wrapText="1"/>
    </xf>
    <xf numFmtId="0" fontId="15" fillId="4" borderId="43" xfId="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2" borderId="35" xfId="1" applyFont="1" applyFill="1" applyBorder="1" applyAlignment="1">
      <alignment horizontal="center" vertical="center" wrapText="1"/>
    </xf>
    <xf numFmtId="0" fontId="9" fillId="4" borderId="45" xfId="1" applyFont="1" applyFill="1" applyBorder="1" applyAlignment="1">
      <alignment horizontal="center" vertical="center" wrapText="1"/>
    </xf>
    <xf numFmtId="0" fontId="9" fillId="4" borderId="46" xfId="1" applyFont="1" applyFill="1" applyBorder="1" applyAlignment="1">
      <alignment horizontal="center" vertical="center" wrapText="1"/>
    </xf>
    <xf numFmtId="0" fontId="9" fillId="4" borderId="48" xfId="1" applyFont="1" applyFill="1" applyBorder="1" applyAlignment="1">
      <alignment horizontal="center" vertical="center" wrapText="1"/>
    </xf>
    <xf numFmtId="0" fontId="9" fillId="4" borderId="49" xfId="1" applyFont="1" applyFill="1" applyBorder="1" applyAlignment="1">
      <alignment horizontal="center" vertical="center" wrapText="1"/>
    </xf>
    <xf numFmtId="0" fontId="19" fillId="4" borderId="28" xfId="1" applyFont="1" applyFill="1" applyBorder="1" applyAlignment="1">
      <alignment horizontal="center"/>
    </xf>
    <xf numFmtId="0" fontId="19" fillId="4" borderId="29" xfId="1" applyFont="1" applyFill="1" applyBorder="1" applyAlignment="1">
      <alignment horizontal="center"/>
    </xf>
    <xf numFmtId="0" fontId="19" fillId="4" borderId="40" xfId="1" applyFont="1" applyFill="1" applyBorder="1" applyAlignment="1">
      <alignment horizontal="center"/>
    </xf>
    <xf numFmtId="0" fontId="9" fillId="4" borderId="13" xfId="1" applyFont="1" applyFill="1" applyBorder="1" applyAlignment="1">
      <alignment horizontal="center" vertical="center"/>
    </xf>
    <xf numFmtId="0" fontId="9" fillId="4" borderId="14" xfId="1" applyFont="1" applyFill="1" applyBorder="1" applyAlignment="1">
      <alignment horizontal="center" vertical="center"/>
    </xf>
    <xf numFmtId="0" fontId="9" fillId="4" borderId="15" xfId="1" applyFont="1" applyFill="1" applyBorder="1" applyAlignment="1">
      <alignment horizontal="center" vertical="center"/>
    </xf>
    <xf numFmtId="0" fontId="9" fillId="4" borderId="48" xfId="1" applyFont="1" applyFill="1" applyBorder="1" applyAlignment="1">
      <alignment horizontal="center" vertical="center"/>
    </xf>
    <xf numFmtId="0" fontId="9" fillId="4" borderId="36" xfId="1" applyFont="1" applyFill="1" applyBorder="1" applyAlignment="1">
      <alignment horizontal="center" vertical="center"/>
    </xf>
    <xf numFmtId="0" fontId="9" fillId="4" borderId="37" xfId="1" applyFont="1" applyFill="1" applyBorder="1" applyAlignment="1">
      <alignment horizontal="center" vertical="center"/>
    </xf>
    <xf numFmtId="165" fontId="9" fillId="4" borderId="29" xfId="1" applyNumberFormat="1" applyFont="1" applyFill="1" applyBorder="1" applyAlignment="1">
      <alignment horizontal="left" vertical="center"/>
    </xf>
    <xf numFmtId="0" fontId="9" fillId="4" borderId="29" xfId="1" applyFont="1" applyFill="1" applyBorder="1" applyAlignment="1">
      <alignment horizontal="left" vertical="center"/>
    </xf>
    <xf numFmtId="0" fontId="9" fillId="4" borderId="40" xfId="1" applyFont="1" applyFill="1" applyBorder="1" applyAlignment="1">
      <alignment horizontal="left" vertical="center"/>
    </xf>
    <xf numFmtId="0" fontId="9" fillId="4" borderId="28" xfId="1" applyFont="1" applyFill="1" applyBorder="1" applyAlignment="1">
      <alignment horizontal="left" vertical="center"/>
    </xf>
    <xf numFmtId="0" fontId="9" fillId="4" borderId="28" xfId="1" applyFont="1" applyFill="1" applyBorder="1" applyAlignment="1">
      <alignment horizontal="center" vertical="center"/>
    </xf>
    <xf numFmtId="0" fontId="9" fillId="4" borderId="29" xfId="1" applyFont="1" applyFill="1" applyBorder="1" applyAlignment="1">
      <alignment horizontal="center" vertical="center"/>
    </xf>
    <xf numFmtId="0" fontId="9" fillId="4" borderId="40" xfId="1" applyFont="1" applyFill="1" applyBorder="1" applyAlignment="1">
      <alignment horizontal="center" vertical="center"/>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40" xfId="1" applyFont="1" applyBorder="1" applyAlignment="1">
      <alignment horizontal="center" vertical="center" wrapText="1"/>
    </xf>
    <xf numFmtId="0" fontId="9" fillId="4" borderId="28" xfId="1" applyFont="1" applyFill="1" applyBorder="1" applyAlignment="1">
      <alignment horizontal="left" vertical="center" wrapText="1"/>
    </xf>
    <xf numFmtId="0" fontId="9" fillId="4" borderId="29" xfId="1" applyFont="1" applyFill="1" applyBorder="1" applyAlignment="1">
      <alignment horizontal="left" vertical="center" wrapText="1"/>
    </xf>
    <xf numFmtId="0" fontId="9" fillId="4" borderId="40" xfId="1" applyFont="1" applyFill="1" applyBorder="1" applyAlignment="1">
      <alignment horizontal="left" vertical="center" wrapText="1"/>
    </xf>
    <xf numFmtId="0" fontId="9" fillId="4" borderId="48" xfId="1" applyFont="1" applyFill="1" applyBorder="1" applyAlignment="1">
      <alignment horizontal="left" vertical="center" wrapText="1"/>
    </xf>
    <xf numFmtId="0" fontId="9" fillId="4" borderId="36" xfId="1" applyFont="1" applyFill="1" applyBorder="1" applyAlignment="1">
      <alignment horizontal="left" vertical="center" wrapText="1"/>
    </xf>
    <xf numFmtId="0" fontId="9" fillId="4" borderId="37" xfId="1" applyFont="1" applyFill="1" applyBorder="1" applyAlignment="1">
      <alignment horizontal="left" vertical="center" wrapText="1"/>
    </xf>
    <xf numFmtId="0" fontId="0" fillId="0" borderId="90" xfId="0" applyFont="1" applyBorder="1" applyAlignment="1">
      <alignment horizontal="center"/>
    </xf>
    <xf numFmtId="0" fontId="0" fillId="0" borderId="35" xfId="0" applyFont="1" applyBorder="1" applyAlignment="1"/>
    <xf numFmtId="0" fontId="0" fillId="0" borderId="35" xfId="0" applyFont="1" applyBorder="1" applyAlignment="1">
      <alignment horizontal="center" wrapText="1"/>
    </xf>
    <xf numFmtId="0" fontId="0" fillId="0" borderId="46" xfId="0" applyFont="1" applyBorder="1" applyAlignment="1"/>
    <xf numFmtId="0" fontId="0" fillId="0" borderId="130" xfId="0" applyFont="1" applyBorder="1" applyAlignment="1">
      <alignment horizontal="center"/>
    </xf>
    <xf numFmtId="0" fontId="5" fillId="0" borderId="131" xfId="0" applyFont="1" applyBorder="1"/>
    <xf numFmtId="0" fontId="9" fillId="0" borderId="132" xfId="0" applyFont="1" applyBorder="1" applyAlignment="1">
      <alignment horizontal="center" vertical="center"/>
    </xf>
    <xf numFmtId="0" fontId="9" fillId="0" borderId="133" xfId="0" applyFont="1" applyBorder="1" applyAlignment="1">
      <alignment horizontal="center" vertical="center"/>
    </xf>
    <xf numFmtId="0" fontId="6" fillId="0" borderId="134" xfId="0" applyFont="1" applyBorder="1" applyAlignment="1">
      <alignment horizontal="center" vertical="center"/>
    </xf>
    <xf numFmtId="0" fontId="5" fillId="0" borderId="135" xfId="0" applyFont="1" applyBorder="1"/>
    <xf numFmtId="0" fontId="6" fillId="0" borderId="136" xfId="0" applyFont="1" applyBorder="1" applyAlignment="1">
      <alignment horizontal="center" vertical="center"/>
    </xf>
    <xf numFmtId="164" fontId="6" fillId="0" borderId="137" xfId="0" applyNumberFormat="1" applyFont="1" applyBorder="1" applyAlignment="1">
      <alignment horizontal="center" vertical="center"/>
    </xf>
    <xf numFmtId="0" fontId="6" fillId="0" borderId="138" xfId="0" applyFont="1" applyBorder="1" applyAlignment="1">
      <alignment horizontal="left" vertical="center"/>
    </xf>
    <xf numFmtId="164" fontId="5" fillId="0" borderId="139" xfId="0" applyNumberFormat="1" applyFont="1" applyBorder="1"/>
    <xf numFmtId="0" fontId="6" fillId="0" borderId="140" xfId="0" applyFont="1" applyBorder="1" applyAlignment="1">
      <alignment horizontal="left" vertical="center"/>
    </xf>
    <xf numFmtId="164" fontId="5" fillId="0" borderId="141" xfId="0" applyNumberFormat="1" applyFont="1" applyBorder="1"/>
    <xf numFmtId="0" fontId="6" fillId="0" borderId="140" xfId="0" applyFont="1" applyBorder="1" applyAlignment="1">
      <alignment horizontal="left" vertical="center" wrapText="1"/>
    </xf>
    <xf numFmtId="0" fontId="9" fillId="0" borderId="140" xfId="0" applyFont="1" applyBorder="1" applyAlignment="1">
      <alignment horizontal="left" vertical="center" wrapText="1"/>
    </xf>
    <xf numFmtId="0" fontId="6" fillId="0" borderId="142" xfId="0" applyFont="1" applyBorder="1" applyAlignment="1">
      <alignment horizontal="center" vertical="center"/>
    </xf>
    <xf numFmtId="0" fontId="6" fillId="0" borderId="143" xfId="0" applyFont="1" applyBorder="1" applyAlignment="1">
      <alignment horizontal="left" vertical="center" wrapText="1"/>
    </xf>
    <xf numFmtId="164" fontId="6" fillId="0" borderId="141" xfId="0" applyNumberFormat="1" applyFont="1" applyBorder="1" applyAlignment="1">
      <alignment horizontal="left" vertical="center"/>
    </xf>
    <xf numFmtId="0" fontId="6" fillId="0" borderId="144" xfId="0" applyFont="1" applyBorder="1" applyAlignment="1">
      <alignment horizontal="left" vertical="center" wrapText="1"/>
    </xf>
    <xf numFmtId="10" fontId="6" fillId="0" borderId="145" xfId="6" applyNumberFormat="1" applyFont="1" applyBorder="1" applyAlignment="1">
      <alignment horizontal="center" vertical="center"/>
    </xf>
    <xf numFmtId="0" fontId="6" fillId="0" borderId="91" xfId="0" applyFont="1" applyBorder="1" applyAlignment="1">
      <alignment horizontal="center" vertical="center" wrapText="1"/>
    </xf>
    <xf numFmtId="0" fontId="5" fillId="0" borderId="52" xfId="0" applyFont="1" applyBorder="1"/>
    <xf numFmtId="0" fontId="6" fillId="0" borderId="146" xfId="0" applyFont="1" applyBorder="1" applyAlignment="1">
      <alignment horizontal="center" vertical="center"/>
    </xf>
    <xf numFmtId="164" fontId="6" fillId="0" borderId="147" xfId="0" applyNumberFormat="1" applyFont="1" applyBorder="1" applyAlignment="1">
      <alignment horizontal="center" vertical="center" wrapText="1"/>
    </xf>
    <xf numFmtId="0" fontId="7" fillId="3" borderId="148" xfId="0" applyFont="1" applyFill="1" applyBorder="1" applyAlignment="1">
      <alignment horizontal="center" vertical="center" wrapText="1"/>
    </xf>
    <xf numFmtId="164" fontId="7" fillId="3" borderId="52" xfId="0" applyNumberFormat="1" applyFont="1" applyFill="1" applyBorder="1" applyAlignment="1">
      <alignment horizontal="center" vertical="center" wrapText="1"/>
    </xf>
    <xf numFmtId="0" fontId="7" fillId="0" borderId="125" xfId="0" applyFont="1" applyBorder="1" applyAlignment="1">
      <alignment horizontal="right" vertical="center" wrapText="1"/>
    </xf>
    <xf numFmtId="0" fontId="7" fillId="0" borderId="39" xfId="0" applyFont="1" applyBorder="1" applyAlignment="1">
      <alignment horizontal="right" vertical="center" wrapText="1"/>
    </xf>
    <xf numFmtId="0" fontId="7" fillId="0" borderId="149" xfId="0" applyFont="1" applyBorder="1" applyAlignment="1">
      <alignment horizontal="right" vertical="center" wrapText="1"/>
    </xf>
    <xf numFmtId="164" fontId="7" fillId="0" borderId="57" xfId="0" applyNumberFormat="1" applyFont="1" applyBorder="1" applyAlignment="1">
      <alignment horizontal="center" vertical="center" wrapText="1"/>
    </xf>
  </cellXfs>
  <cellStyles count="11">
    <cellStyle name="Normal" xfId="0" builtinId="0"/>
    <cellStyle name="Normal 2" xfId="1"/>
    <cellStyle name="Normal 3" xfId="4"/>
    <cellStyle name="Normal 4" xfId="7"/>
    <cellStyle name="Normal 5" xfId="9"/>
    <cellStyle name="Porcentagem" xfId="6" builtinId="5"/>
    <cellStyle name="Porcentagem 2" xfId="3"/>
    <cellStyle name="Vírgula 2" xfId="8"/>
    <cellStyle name="Vírgula 3" xfId="2"/>
    <cellStyle name="Vírgula 3 2" xfId="5"/>
    <cellStyle name="Vírgula 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742950</xdr:colOff>
      <xdr:row>4</xdr:row>
      <xdr:rowOff>0</xdr:rowOff>
    </xdr:from>
    <xdr:ext cx="65" cy="172227"/>
    <xdr:sp macro="" textlink="">
      <xdr:nvSpPr>
        <xdr:cNvPr id="2" name="CaixaDeTexto 1"/>
        <xdr:cNvSpPr txBox="1"/>
      </xdr:nvSpPr>
      <xdr:spPr>
        <a:xfrm>
          <a:off x="5863590" y="7848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4</xdr:col>
      <xdr:colOff>742950</xdr:colOff>
      <xdr:row>4</xdr:row>
      <xdr:rowOff>0</xdr:rowOff>
    </xdr:from>
    <xdr:ext cx="65" cy="180056"/>
    <xdr:sp macro="" textlink="">
      <xdr:nvSpPr>
        <xdr:cNvPr id="3" name="CaixaDeTexto 2"/>
        <xdr:cNvSpPr txBox="1"/>
      </xdr:nvSpPr>
      <xdr:spPr>
        <a:xfrm>
          <a:off x="5863590" y="235077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4</xdr:col>
      <xdr:colOff>742950</xdr:colOff>
      <xdr:row>4</xdr:row>
      <xdr:rowOff>0</xdr:rowOff>
    </xdr:from>
    <xdr:ext cx="65" cy="172227"/>
    <xdr:sp macro="" textlink="">
      <xdr:nvSpPr>
        <xdr:cNvPr id="4" name="CaixaDeTexto 3"/>
        <xdr:cNvSpPr txBox="1"/>
      </xdr:nvSpPr>
      <xdr:spPr>
        <a:xfrm>
          <a:off x="5863590" y="4400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4</xdr:col>
      <xdr:colOff>742950</xdr:colOff>
      <xdr:row>4</xdr:row>
      <xdr:rowOff>0</xdr:rowOff>
    </xdr:from>
    <xdr:ext cx="65" cy="180056"/>
    <xdr:sp macro="" textlink="">
      <xdr:nvSpPr>
        <xdr:cNvPr id="5" name="CaixaDeTexto 4"/>
        <xdr:cNvSpPr txBox="1"/>
      </xdr:nvSpPr>
      <xdr:spPr>
        <a:xfrm>
          <a:off x="5863590" y="6678930"/>
          <a:ext cx="65" cy="1800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4</xdr:col>
      <xdr:colOff>746760</xdr:colOff>
      <xdr:row>17</xdr:row>
      <xdr:rowOff>118110</xdr:rowOff>
    </xdr:from>
    <xdr:ext cx="65" cy="172227"/>
    <xdr:sp macro="" textlink="">
      <xdr:nvSpPr>
        <xdr:cNvPr id="6" name="CaixaDeTexto 5"/>
        <xdr:cNvSpPr txBox="1"/>
      </xdr:nvSpPr>
      <xdr:spPr>
        <a:xfrm>
          <a:off x="5897880" y="216789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4</xdr:col>
      <xdr:colOff>746760</xdr:colOff>
      <xdr:row>59</xdr:row>
      <xdr:rowOff>118110</xdr:rowOff>
    </xdr:from>
    <xdr:ext cx="65" cy="172227"/>
    <xdr:sp macro="" textlink="">
      <xdr:nvSpPr>
        <xdr:cNvPr id="7" name="CaixaDeTexto 6"/>
        <xdr:cNvSpPr txBox="1"/>
      </xdr:nvSpPr>
      <xdr:spPr>
        <a:xfrm>
          <a:off x="5874572" y="596309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4</xdr:col>
      <xdr:colOff>746760</xdr:colOff>
      <xdr:row>88</xdr:row>
      <xdr:rowOff>118110</xdr:rowOff>
    </xdr:from>
    <xdr:ext cx="65" cy="172227"/>
    <xdr:sp macro="" textlink="">
      <xdr:nvSpPr>
        <xdr:cNvPr id="8" name="CaixaDeTexto 7"/>
        <xdr:cNvSpPr txBox="1"/>
      </xdr:nvSpPr>
      <xdr:spPr>
        <a:xfrm>
          <a:off x="5874572" y="596309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4</xdr:col>
      <xdr:colOff>746760</xdr:colOff>
      <xdr:row>55</xdr:row>
      <xdr:rowOff>0</xdr:rowOff>
    </xdr:from>
    <xdr:ext cx="65" cy="172227"/>
    <xdr:sp macro="" textlink="">
      <xdr:nvSpPr>
        <xdr:cNvPr id="9" name="CaixaDeTexto 8"/>
        <xdr:cNvSpPr txBox="1"/>
      </xdr:nvSpPr>
      <xdr:spPr>
        <a:xfrm>
          <a:off x="5897880" y="93040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oneCellAnchor>
    <xdr:from>
      <xdr:col>4</xdr:col>
      <xdr:colOff>746760</xdr:colOff>
      <xdr:row>125</xdr:row>
      <xdr:rowOff>0</xdr:rowOff>
    </xdr:from>
    <xdr:ext cx="65" cy="172227"/>
    <xdr:sp macro="" textlink="">
      <xdr:nvSpPr>
        <xdr:cNvPr id="10" name="CaixaDeTexto 9"/>
        <xdr:cNvSpPr txBox="1"/>
      </xdr:nvSpPr>
      <xdr:spPr>
        <a:xfrm>
          <a:off x="5874572" y="139670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104775</xdr:colOff>
      <xdr:row>0</xdr:row>
      <xdr:rowOff>57150</xdr:rowOff>
    </xdr:from>
    <xdr:ext cx="3724275" cy="742950"/>
    <xdr:sp macro="" textlink="">
      <xdr:nvSpPr>
        <xdr:cNvPr id="3" name="Shape 3"/>
        <xdr:cNvSpPr/>
      </xdr:nvSpPr>
      <xdr:spPr>
        <a:xfrm>
          <a:off x="3488625" y="3413288"/>
          <a:ext cx="3714750" cy="73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2</xdr:col>
      <xdr:colOff>857250</xdr:colOff>
      <xdr:row>0</xdr:row>
      <xdr:rowOff>152400</xdr:rowOff>
    </xdr:from>
    <xdr:ext cx="3600450" cy="647700"/>
    <xdr:sp macro="" textlink="">
      <xdr:nvSpPr>
        <xdr:cNvPr id="5" name="Shape 5"/>
        <xdr:cNvSpPr/>
      </xdr:nvSpPr>
      <xdr:spPr>
        <a:xfrm>
          <a:off x="1933575" y="152400"/>
          <a:ext cx="3600450" cy="6477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pt-BR" sz="1100" b="1" i="0" u="none" strike="noStrike">
              <a:solidFill>
                <a:srgbClr val="000000"/>
              </a:solidFill>
              <a:latin typeface="Arial"/>
              <a:ea typeface="Arial"/>
              <a:cs typeface="Arial"/>
              <a:sym typeface="Arial"/>
            </a:rPr>
            <a:t>PREFEITURA</a:t>
          </a:r>
          <a:r>
            <a:rPr lang="pt-BR" sz="1100" b="1" i="0" u="none" strike="noStrike" baseline="0">
              <a:solidFill>
                <a:srgbClr val="000000"/>
              </a:solidFill>
              <a:latin typeface="Arial"/>
              <a:ea typeface="Arial"/>
              <a:cs typeface="Arial"/>
              <a:sym typeface="Arial"/>
            </a:rPr>
            <a:t> MUNICIPAL DECARVALHOS</a:t>
          </a:r>
        </a:p>
        <a:p>
          <a:pPr marL="0" lvl="0" indent="0" algn="ctr" rtl="0">
            <a:spcBef>
              <a:spcPts val="0"/>
            </a:spcBef>
            <a:spcAft>
              <a:spcPts val="0"/>
            </a:spcAft>
            <a:buNone/>
          </a:pPr>
          <a:r>
            <a:rPr lang="pt-BR" sz="1000" b="0" i="0" u="none" strike="noStrike" baseline="0">
              <a:solidFill>
                <a:srgbClr val="000000"/>
              </a:solidFill>
              <a:latin typeface="Arial"/>
              <a:cs typeface="Arial"/>
              <a:sym typeface="Arial"/>
            </a:rPr>
            <a:t>ESTADO DE MINAS GERAIS</a:t>
          </a:r>
          <a:endParaRPr sz="1000" b="0"/>
        </a:p>
      </xdr:txBody>
    </xdr:sp>
    <xdr:clientData fLocksWithSheet="0"/>
  </xdr:oneCellAnchor>
  <xdr:twoCellAnchor editAs="oneCell">
    <xdr:from>
      <xdr:col>0</xdr:col>
      <xdr:colOff>142875</xdr:colOff>
      <xdr:row>0</xdr:row>
      <xdr:rowOff>76200</xdr:rowOff>
    </xdr:from>
    <xdr:to>
      <xdr:col>1</xdr:col>
      <xdr:colOff>476250</xdr:colOff>
      <xdr:row>0</xdr:row>
      <xdr:rowOff>720587</xdr:rowOff>
    </xdr:to>
    <xdr:pic>
      <xdr:nvPicPr>
        <xdr:cNvPr id="7" name="Imagem 6" descr="https://lh3.googleusercontent.com/h3jqKZsRYBVTboGdSYvJM589xkyya2oPr5Eu_RYYhB7yXJd2cFfqcaPvxYk-mQMFbWkiZDn5EN01H3a_ujVgce5idMO77qY2yPVxZhd8O4SRt5dq5GIkswQiQYrKW2oQc7UKt_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695325" cy="644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409161</xdr:colOff>
      <xdr:row>0</xdr:row>
      <xdr:rowOff>66675</xdr:rowOff>
    </xdr:from>
    <xdr:to>
      <xdr:col>7</xdr:col>
      <xdr:colOff>613328</xdr:colOff>
      <xdr:row>0</xdr:row>
      <xdr:rowOff>692012</xdr:rowOff>
    </xdr:to>
    <xdr:pic>
      <xdr:nvPicPr>
        <xdr:cNvPr id="8" name="Imagem 7" descr="https://lh5.googleusercontent.com/DgJwbpPbhealw0qd6UJQ7U5QlqOdXCxhV4qrWhn8Ogm8dFi3wcbCypNMtdGKAZxnpq14UDbqsymNvgvIdS-bFiXVzpH4Vv7fUN7UClJ8sJ8_h_4wQGF3mxIJwJyhiY7B625XgBk"/>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33786" y="66675"/>
          <a:ext cx="1023317" cy="625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53</xdr:row>
      <xdr:rowOff>0</xdr:rowOff>
    </xdr:from>
    <xdr:to>
      <xdr:col>5</xdr:col>
      <xdr:colOff>0</xdr:colOff>
      <xdr:row>56</xdr:row>
      <xdr:rowOff>91206</xdr:rowOff>
    </xdr:to>
    <xdr:sp macro="" textlink="">
      <xdr:nvSpPr>
        <xdr:cNvPr id="2" name="Text Box 7"/>
        <xdr:cNvSpPr txBox="1">
          <a:spLocks noChangeArrowheads="1"/>
        </xdr:cNvSpPr>
      </xdr:nvSpPr>
      <xdr:spPr bwMode="auto">
        <a:xfrm>
          <a:off x="47625" y="4366260"/>
          <a:ext cx="9698355" cy="594126"/>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BR" sz="800" b="0" i="0" u="none" strike="noStrike" baseline="0">
              <a:solidFill>
                <a:srgbClr val="000000"/>
              </a:solidFill>
              <a:latin typeface="Arial"/>
              <a:cs typeface="Arial"/>
            </a:rPr>
            <a:t>Secretaria de Estado de Transportes e Obras Públicas  - SETOP - MG</a:t>
          </a:r>
          <a:endParaRPr lang="pt-BR" sz="900" b="0" i="0" u="none" strike="noStrike" baseline="0">
            <a:solidFill>
              <a:srgbClr val="000000"/>
            </a:solidFill>
            <a:latin typeface="Arial"/>
            <a:cs typeface="Arial"/>
          </a:endParaRPr>
        </a:p>
        <a:p>
          <a:pPr algn="ctr" rtl="0">
            <a:defRPr sz="1000"/>
          </a:pPr>
          <a:r>
            <a:rPr lang="pt-BR" sz="900" b="0" i="0" u="none" strike="noStrike" baseline="0">
              <a:solidFill>
                <a:srgbClr val="000000"/>
              </a:solidFill>
              <a:latin typeface="Arial"/>
              <a:cs typeface="Arial"/>
            </a:rPr>
            <a:t>Internet: www.transportes.mg.gov.br / E-mail: dco@transportes.mg.gov.br</a:t>
          </a:r>
        </a:p>
        <a:p>
          <a:pPr algn="ctr" rtl="0">
            <a:defRPr sz="1000"/>
          </a:pPr>
          <a:r>
            <a:rPr lang="pt-BR" sz="900" b="0" i="0" u="none" strike="noStrike" baseline="0">
              <a:solidFill>
                <a:srgbClr val="000000"/>
              </a:solidFill>
              <a:latin typeface="Arial"/>
              <a:cs typeface="Arial"/>
            </a:rPr>
            <a:t>Fone Geral: (31) 3239-0999 - Fax: (31) 3239-0899</a:t>
          </a:r>
        </a:p>
        <a:p>
          <a:pPr algn="ctr" rtl="0">
            <a:defRPr sz="1000"/>
          </a:pPr>
          <a:r>
            <a:rPr lang="pt-BR" sz="900" b="0" i="0" u="none" strike="noStrike" baseline="0">
              <a:solidFill>
                <a:srgbClr val="000000"/>
              </a:solidFill>
              <a:latin typeface="Arial"/>
              <a:cs typeface="Arial"/>
            </a:rPr>
            <a:t>Sede: Rua Manaus, nº 467 - Bairro Santa Efigênia - CEP 30150-350 - Belo Horizonte - MG</a:t>
          </a:r>
          <a:endParaRPr lang="pt-B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7\PMBF\CAL&#199;AMENTO%20SANTA%20TEREZINHA\PLANILHA%20M&#218;LTIPLA%202.3_BIAS%20FORTES_REV%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
      <sheetName val="Novo!"/>
      <sheetName val="Dados"/>
      <sheetName val="BDI"/>
      <sheetName val="Orçamento"/>
      <sheetName val="Memória"/>
      <sheetName val="Comp"/>
      <sheetName val="Cot"/>
      <sheetName val="CronoFF"/>
      <sheetName val="QCI"/>
      <sheetName val="Memorial Descritivo"/>
      <sheetName val="Licitação"/>
      <sheetName val="CronoFF-L"/>
      <sheetName val="QCI-L"/>
      <sheetName val="BM"/>
      <sheetName val="RRE"/>
      <sheetName val="OFÍCIO"/>
      <sheetName val="CC"/>
    </sheetNames>
    <sheetDataSet>
      <sheetData sheetId="0"/>
      <sheetData sheetId="1"/>
      <sheetData sheetId="2">
        <row r="29">
          <cell r="G29">
            <v>42826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topLeftCell="A4" zoomScaleNormal="100" zoomScaleSheetLayoutView="100" workbookViewId="0">
      <selection activeCell="H21" sqref="H21"/>
    </sheetView>
  </sheetViews>
  <sheetFormatPr defaultRowHeight="13.2" x14ac:dyDescent="0.25"/>
  <cols>
    <col min="1" max="1" width="15.77734375" style="346" customWidth="1"/>
    <col min="2" max="2" width="49.109375" style="346" customWidth="1"/>
    <col min="3" max="3" width="11.21875" style="346" customWidth="1"/>
    <col min="4" max="4" width="9.77734375" style="346" customWidth="1"/>
    <col min="5" max="5" width="10.44140625" style="346" bestFit="1" customWidth="1"/>
    <col min="6" max="6" width="13.33203125" style="346" customWidth="1"/>
    <col min="7" max="256" width="8.88671875" style="346"/>
    <col min="257" max="257" width="15.77734375" style="346" customWidth="1"/>
    <col min="258" max="258" width="49.109375" style="346" customWidth="1"/>
    <col min="259" max="259" width="11.21875" style="346" customWidth="1"/>
    <col min="260" max="260" width="9.77734375" style="346" customWidth="1"/>
    <col min="261" max="261" width="10.44140625" style="346" bestFit="1" customWidth="1"/>
    <col min="262" max="262" width="13.33203125" style="346" customWidth="1"/>
    <col min="263" max="512" width="8.88671875" style="346"/>
    <col min="513" max="513" width="15.77734375" style="346" customWidth="1"/>
    <col min="514" max="514" width="49.109375" style="346" customWidth="1"/>
    <col min="515" max="515" width="11.21875" style="346" customWidth="1"/>
    <col min="516" max="516" width="9.77734375" style="346" customWidth="1"/>
    <col min="517" max="517" width="10.44140625" style="346" bestFit="1" customWidth="1"/>
    <col min="518" max="518" width="13.33203125" style="346" customWidth="1"/>
    <col min="519" max="768" width="8.88671875" style="346"/>
    <col min="769" max="769" width="15.77734375" style="346" customWidth="1"/>
    <col min="770" max="770" width="49.109375" style="346" customWidth="1"/>
    <col min="771" max="771" width="11.21875" style="346" customWidth="1"/>
    <col min="772" max="772" width="9.77734375" style="346" customWidth="1"/>
    <col min="773" max="773" width="10.44140625" style="346" bestFit="1" customWidth="1"/>
    <col min="774" max="774" width="13.33203125" style="346" customWidth="1"/>
    <col min="775" max="1024" width="8.88671875" style="346"/>
    <col min="1025" max="1025" width="15.77734375" style="346" customWidth="1"/>
    <col min="1026" max="1026" width="49.109375" style="346" customWidth="1"/>
    <col min="1027" max="1027" width="11.21875" style="346" customWidth="1"/>
    <col min="1028" max="1028" width="9.77734375" style="346" customWidth="1"/>
    <col min="1029" max="1029" width="10.44140625" style="346" bestFit="1" customWidth="1"/>
    <col min="1030" max="1030" width="13.33203125" style="346" customWidth="1"/>
    <col min="1031" max="1280" width="8.88671875" style="346"/>
    <col min="1281" max="1281" width="15.77734375" style="346" customWidth="1"/>
    <col min="1282" max="1282" width="49.109375" style="346" customWidth="1"/>
    <col min="1283" max="1283" width="11.21875" style="346" customWidth="1"/>
    <col min="1284" max="1284" width="9.77734375" style="346" customWidth="1"/>
    <col min="1285" max="1285" width="10.44140625" style="346" bestFit="1" customWidth="1"/>
    <col min="1286" max="1286" width="13.33203125" style="346" customWidth="1"/>
    <col min="1287" max="1536" width="8.88671875" style="346"/>
    <col min="1537" max="1537" width="15.77734375" style="346" customWidth="1"/>
    <col min="1538" max="1538" width="49.109375" style="346" customWidth="1"/>
    <col min="1539" max="1539" width="11.21875" style="346" customWidth="1"/>
    <col min="1540" max="1540" width="9.77734375" style="346" customWidth="1"/>
    <col min="1541" max="1541" width="10.44140625" style="346" bestFit="1" customWidth="1"/>
    <col min="1542" max="1542" width="13.33203125" style="346" customWidth="1"/>
    <col min="1543" max="1792" width="8.88671875" style="346"/>
    <col min="1793" max="1793" width="15.77734375" style="346" customWidth="1"/>
    <col min="1794" max="1794" width="49.109375" style="346" customWidth="1"/>
    <col min="1795" max="1795" width="11.21875" style="346" customWidth="1"/>
    <col min="1796" max="1796" width="9.77734375" style="346" customWidth="1"/>
    <col min="1797" max="1797" width="10.44140625" style="346" bestFit="1" customWidth="1"/>
    <col min="1798" max="1798" width="13.33203125" style="346" customWidth="1"/>
    <col min="1799" max="2048" width="8.88671875" style="346"/>
    <col min="2049" max="2049" width="15.77734375" style="346" customWidth="1"/>
    <col min="2050" max="2050" width="49.109375" style="346" customWidth="1"/>
    <col min="2051" max="2051" width="11.21875" style="346" customWidth="1"/>
    <col min="2052" max="2052" width="9.77734375" style="346" customWidth="1"/>
    <col min="2053" max="2053" width="10.44140625" style="346" bestFit="1" customWidth="1"/>
    <col min="2054" max="2054" width="13.33203125" style="346" customWidth="1"/>
    <col min="2055" max="2304" width="8.88671875" style="346"/>
    <col min="2305" max="2305" width="15.77734375" style="346" customWidth="1"/>
    <col min="2306" max="2306" width="49.109375" style="346" customWidth="1"/>
    <col min="2307" max="2307" width="11.21875" style="346" customWidth="1"/>
    <col min="2308" max="2308" width="9.77734375" style="346" customWidth="1"/>
    <col min="2309" max="2309" width="10.44140625" style="346" bestFit="1" customWidth="1"/>
    <col min="2310" max="2310" width="13.33203125" style="346" customWidth="1"/>
    <col min="2311" max="2560" width="8.88671875" style="346"/>
    <col min="2561" max="2561" width="15.77734375" style="346" customWidth="1"/>
    <col min="2562" max="2562" width="49.109375" style="346" customWidth="1"/>
    <col min="2563" max="2563" width="11.21875" style="346" customWidth="1"/>
    <col min="2564" max="2564" width="9.77734375" style="346" customWidth="1"/>
    <col min="2565" max="2565" width="10.44140625" style="346" bestFit="1" customWidth="1"/>
    <col min="2566" max="2566" width="13.33203125" style="346" customWidth="1"/>
    <col min="2567" max="2816" width="8.88671875" style="346"/>
    <col min="2817" max="2817" width="15.77734375" style="346" customWidth="1"/>
    <col min="2818" max="2818" width="49.109375" style="346" customWidth="1"/>
    <col min="2819" max="2819" width="11.21875" style="346" customWidth="1"/>
    <col min="2820" max="2820" width="9.77734375" style="346" customWidth="1"/>
    <col min="2821" max="2821" width="10.44140625" style="346" bestFit="1" customWidth="1"/>
    <col min="2822" max="2822" width="13.33203125" style="346" customWidth="1"/>
    <col min="2823" max="3072" width="8.88671875" style="346"/>
    <col min="3073" max="3073" width="15.77734375" style="346" customWidth="1"/>
    <col min="3074" max="3074" width="49.109375" style="346" customWidth="1"/>
    <col min="3075" max="3075" width="11.21875" style="346" customWidth="1"/>
    <col min="3076" max="3076" width="9.77734375" style="346" customWidth="1"/>
    <col min="3077" max="3077" width="10.44140625" style="346" bestFit="1" customWidth="1"/>
    <col min="3078" max="3078" width="13.33203125" style="346" customWidth="1"/>
    <col min="3079" max="3328" width="8.88671875" style="346"/>
    <col min="3329" max="3329" width="15.77734375" style="346" customWidth="1"/>
    <col min="3330" max="3330" width="49.109375" style="346" customWidth="1"/>
    <col min="3331" max="3331" width="11.21875" style="346" customWidth="1"/>
    <col min="3332" max="3332" width="9.77734375" style="346" customWidth="1"/>
    <col min="3333" max="3333" width="10.44140625" style="346" bestFit="1" customWidth="1"/>
    <col min="3334" max="3334" width="13.33203125" style="346" customWidth="1"/>
    <col min="3335" max="3584" width="8.88671875" style="346"/>
    <col min="3585" max="3585" width="15.77734375" style="346" customWidth="1"/>
    <col min="3586" max="3586" width="49.109375" style="346" customWidth="1"/>
    <col min="3587" max="3587" width="11.21875" style="346" customWidth="1"/>
    <col min="3588" max="3588" width="9.77734375" style="346" customWidth="1"/>
    <col min="3589" max="3589" width="10.44140625" style="346" bestFit="1" customWidth="1"/>
    <col min="3590" max="3590" width="13.33203125" style="346" customWidth="1"/>
    <col min="3591" max="3840" width="8.88671875" style="346"/>
    <col min="3841" max="3841" width="15.77734375" style="346" customWidth="1"/>
    <col min="3842" max="3842" width="49.109375" style="346" customWidth="1"/>
    <col min="3843" max="3843" width="11.21875" style="346" customWidth="1"/>
    <col min="3844" max="3844" width="9.77734375" style="346" customWidth="1"/>
    <col min="3845" max="3845" width="10.44140625" style="346" bestFit="1" customWidth="1"/>
    <col min="3846" max="3846" width="13.33203125" style="346" customWidth="1"/>
    <col min="3847" max="4096" width="8.88671875" style="346"/>
    <col min="4097" max="4097" width="15.77734375" style="346" customWidth="1"/>
    <col min="4098" max="4098" width="49.109375" style="346" customWidth="1"/>
    <col min="4099" max="4099" width="11.21875" style="346" customWidth="1"/>
    <col min="4100" max="4100" width="9.77734375" style="346" customWidth="1"/>
    <col min="4101" max="4101" width="10.44140625" style="346" bestFit="1" customWidth="1"/>
    <col min="4102" max="4102" width="13.33203125" style="346" customWidth="1"/>
    <col min="4103" max="4352" width="8.88671875" style="346"/>
    <col min="4353" max="4353" width="15.77734375" style="346" customWidth="1"/>
    <col min="4354" max="4354" width="49.109375" style="346" customWidth="1"/>
    <col min="4355" max="4355" width="11.21875" style="346" customWidth="1"/>
    <col min="4356" max="4356" width="9.77734375" style="346" customWidth="1"/>
    <col min="4357" max="4357" width="10.44140625" style="346" bestFit="1" customWidth="1"/>
    <col min="4358" max="4358" width="13.33203125" style="346" customWidth="1"/>
    <col min="4359" max="4608" width="8.88671875" style="346"/>
    <col min="4609" max="4609" width="15.77734375" style="346" customWidth="1"/>
    <col min="4610" max="4610" width="49.109375" style="346" customWidth="1"/>
    <col min="4611" max="4611" width="11.21875" style="346" customWidth="1"/>
    <col min="4612" max="4612" width="9.77734375" style="346" customWidth="1"/>
    <col min="4613" max="4613" width="10.44140625" style="346" bestFit="1" customWidth="1"/>
    <col min="4614" max="4614" width="13.33203125" style="346" customWidth="1"/>
    <col min="4615" max="4864" width="8.88671875" style="346"/>
    <col min="4865" max="4865" width="15.77734375" style="346" customWidth="1"/>
    <col min="4866" max="4866" width="49.109375" style="346" customWidth="1"/>
    <col min="4867" max="4867" width="11.21875" style="346" customWidth="1"/>
    <col min="4868" max="4868" width="9.77734375" style="346" customWidth="1"/>
    <col min="4869" max="4869" width="10.44140625" style="346" bestFit="1" customWidth="1"/>
    <col min="4870" max="4870" width="13.33203125" style="346" customWidth="1"/>
    <col min="4871" max="5120" width="8.88671875" style="346"/>
    <col min="5121" max="5121" width="15.77734375" style="346" customWidth="1"/>
    <col min="5122" max="5122" width="49.109375" style="346" customWidth="1"/>
    <col min="5123" max="5123" width="11.21875" style="346" customWidth="1"/>
    <col min="5124" max="5124" width="9.77734375" style="346" customWidth="1"/>
    <col min="5125" max="5125" width="10.44140625" style="346" bestFit="1" customWidth="1"/>
    <col min="5126" max="5126" width="13.33203125" style="346" customWidth="1"/>
    <col min="5127" max="5376" width="8.88671875" style="346"/>
    <col min="5377" max="5377" width="15.77734375" style="346" customWidth="1"/>
    <col min="5378" max="5378" width="49.109375" style="346" customWidth="1"/>
    <col min="5379" max="5379" width="11.21875" style="346" customWidth="1"/>
    <col min="5380" max="5380" width="9.77734375" style="346" customWidth="1"/>
    <col min="5381" max="5381" width="10.44140625" style="346" bestFit="1" customWidth="1"/>
    <col min="5382" max="5382" width="13.33203125" style="346" customWidth="1"/>
    <col min="5383" max="5632" width="8.88671875" style="346"/>
    <col min="5633" max="5633" width="15.77734375" style="346" customWidth="1"/>
    <col min="5634" max="5634" width="49.109375" style="346" customWidth="1"/>
    <col min="5635" max="5635" width="11.21875" style="346" customWidth="1"/>
    <col min="5636" max="5636" width="9.77734375" style="346" customWidth="1"/>
    <col min="5637" max="5637" width="10.44140625" style="346" bestFit="1" customWidth="1"/>
    <col min="5638" max="5638" width="13.33203125" style="346" customWidth="1"/>
    <col min="5639" max="5888" width="8.88671875" style="346"/>
    <col min="5889" max="5889" width="15.77734375" style="346" customWidth="1"/>
    <col min="5890" max="5890" width="49.109375" style="346" customWidth="1"/>
    <col min="5891" max="5891" width="11.21875" style="346" customWidth="1"/>
    <col min="5892" max="5892" width="9.77734375" style="346" customWidth="1"/>
    <col min="5893" max="5893" width="10.44140625" style="346" bestFit="1" customWidth="1"/>
    <col min="5894" max="5894" width="13.33203125" style="346" customWidth="1"/>
    <col min="5895" max="6144" width="8.88671875" style="346"/>
    <col min="6145" max="6145" width="15.77734375" style="346" customWidth="1"/>
    <col min="6146" max="6146" width="49.109375" style="346" customWidth="1"/>
    <col min="6147" max="6147" width="11.21875" style="346" customWidth="1"/>
    <col min="6148" max="6148" width="9.77734375" style="346" customWidth="1"/>
    <col min="6149" max="6149" width="10.44140625" style="346" bestFit="1" customWidth="1"/>
    <col min="6150" max="6150" width="13.33203125" style="346" customWidth="1"/>
    <col min="6151" max="6400" width="8.88671875" style="346"/>
    <col min="6401" max="6401" width="15.77734375" style="346" customWidth="1"/>
    <col min="6402" max="6402" width="49.109375" style="346" customWidth="1"/>
    <col min="6403" max="6403" width="11.21875" style="346" customWidth="1"/>
    <col min="6404" max="6404" width="9.77734375" style="346" customWidth="1"/>
    <col min="6405" max="6405" width="10.44140625" style="346" bestFit="1" customWidth="1"/>
    <col min="6406" max="6406" width="13.33203125" style="346" customWidth="1"/>
    <col min="6407" max="6656" width="8.88671875" style="346"/>
    <col min="6657" max="6657" width="15.77734375" style="346" customWidth="1"/>
    <col min="6658" max="6658" width="49.109375" style="346" customWidth="1"/>
    <col min="6659" max="6659" width="11.21875" style="346" customWidth="1"/>
    <col min="6660" max="6660" width="9.77734375" style="346" customWidth="1"/>
    <col min="6661" max="6661" width="10.44140625" style="346" bestFit="1" customWidth="1"/>
    <col min="6662" max="6662" width="13.33203125" style="346" customWidth="1"/>
    <col min="6663" max="6912" width="8.88671875" style="346"/>
    <col min="6913" max="6913" width="15.77734375" style="346" customWidth="1"/>
    <col min="6914" max="6914" width="49.109375" style="346" customWidth="1"/>
    <col min="6915" max="6915" width="11.21875" style="346" customWidth="1"/>
    <col min="6916" max="6916" width="9.77734375" style="346" customWidth="1"/>
    <col min="6917" max="6917" width="10.44140625" style="346" bestFit="1" customWidth="1"/>
    <col min="6918" max="6918" width="13.33203125" style="346" customWidth="1"/>
    <col min="6919" max="7168" width="8.88671875" style="346"/>
    <col min="7169" max="7169" width="15.77734375" style="346" customWidth="1"/>
    <col min="7170" max="7170" width="49.109375" style="346" customWidth="1"/>
    <col min="7171" max="7171" width="11.21875" style="346" customWidth="1"/>
    <col min="7172" max="7172" width="9.77734375" style="346" customWidth="1"/>
    <col min="7173" max="7173" width="10.44140625" style="346" bestFit="1" customWidth="1"/>
    <col min="7174" max="7174" width="13.33203125" style="346" customWidth="1"/>
    <col min="7175" max="7424" width="8.88671875" style="346"/>
    <col min="7425" max="7425" width="15.77734375" style="346" customWidth="1"/>
    <col min="7426" max="7426" width="49.109375" style="346" customWidth="1"/>
    <col min="7427" max="7427" width="11.21875" style="346" customWidth="1"/>
    <col min="7428" max="7428" width="9.77734375" style="346" customWidth="1"/>
    <col min="7429" max="7429" width="10.44140625" style="346" bestFit="1" customWidth="1"/>
    <col min="7430" max="7430" width="13.33203125" style="346" customWidth="1"/>
    <col min="7431" max="7680" width="8.88671875" style="346"/>
    <col min="7681" max="7681" width="15.77734375" style="346" customWidth="1"/>
    <col min="7682" max="7682" width="49.109375" style="346" customWidth="1"/>
    <col min="7683" max="7683" width="11.21875" style="346" customWidth="1"/>
    <col min="7684" max="7684" width="9.77734375" style="346" customWidth="1"/>
    <col min="7685" max="7685" width="10.44140625" style="346" bestFit="1" customWidth="1"/>
    <col min="7686" max="7686" width="13.33203125" style="346" customWidth="1"/>
    <col min="7687" max="7936" width="8.88671875" style="346"/>
    <col min="7937" max="7937" width="15.77734375" style="346" customWidth="1"/>
    <col min="7938" max="7938" width="49.109375" style="346" customWidth="1"/>
    <col min="7939" max="7939" width="11.21875" style="346" customWidth="1"/>
    <col min="7940" max="7940" width="9.77734375" style="346" customWidth="1"/>
    <col min="7941" max="7941" width="10.44140625" style="346" bestFit="1" customWidth="1"/>
    <col min="7942" max="7942" width="13.33203125" style="346" customWidth="1"/>
    <col min="7943" max="8192" width="8.88671875" style="346"/>
    <col min="8193" max="8193" width="15.77734375" style="346" customWidth="1"/>
    <col min="8194" max="8194" width="49.109375" style="346" customWidth="1"/>
    <col min="8195" max="8195" width="11.21875" style="346" customWidth="1"/>
    <col min="8196" max="8196" width="9.77734375" style="346" customWidth="1"/>
    <col min="8197" max="8197" width="10.44140625" style="346" bestFit="1" customWidth="1"/>
    <col min="8198" max="8198" width="13.33203125" style="346" customWidth="1"/>
    <col min="8199" max="8448" width="8.88671875" style="346"/>
    <col min="8449" max="8449" width="15.77734375" style="346" customWidth="1"/>
    <col min="8450" max="8450" width="49.109375" style="346" customWidth="1"/>
    <col min="8451" max="8451" width="11.21875" style="346" customWidth="1"/>
    <col min="8452" max="8452" width="9.77734375" style="346" customWidth="1"/>
    <col min="8453" max="8453" width="10.44140625" style="346" bestFit="1" customWidth="1"/>
    <col min="8454" max="8454" width="13.33203125" style="346" customWidth="1"/>
    <col min="8455" max="8704" width="8.88671875" style="346"/>
    <col min="8705" max="8705" width="15.77734375" style="346" customWidth="1"/>
    <col min="8706" max="8706" width="49.109375" style="346" customWidth="1"/>
    <col min="8707" max="8707" width="11.21875" style="346" customWidth="1"/>
    <col min="8708" max="8708" width="9.77734375" style="346" customWidth="1"/>
    <col min="8709" max="8709" width="10.44140625" style="346" bestFit="1" customWidth="1"/>
    <col min="8710" max="8710" width="13.33203125" style="346" customWidth="1"/>
    <col min="8711" max="8960" width="8.88671875" style="346"/>
    <col min="8961" max="8961" width="15.77734375" style="346" customWidth="1"/>
    <col min="8962" max="8962" width="49.109375" style="346" customWidth="1"/>
    <col min="8963" max="8963" width="11.21875" style="346" customWidth="1"/>
    <col min="8964" max="8964" width="9.77734375" style="346" customWidth="1"/>
    <col min="8965" max="8965" width="10.44140625" style="346" bestFit="1" customWidth="1"/>
    <col min="8966" max="8966" width="13.33203125" style="346" customWidth="1"/>
    <col min="8967" max="9216" width="8.88671875" style="346"/>
    <col min="9217" max="9217" width="15.77734375" style="346" customWidth="1"/>
    <col min="9218" max="9218" width="49.109375" style="346" customWidth="1"/>
    <col min="9219" max="9219" width="11.21875" style="346" customWidth="1"/>
    <col min="9220" max="9220" width="9.77734375" style="346" customWidth="1"/>
    <col min="9221" max="9221" width="10.44140625" style="346" bestFit="1" customWidth="1"/>
    <col min="9222" max="9222" width="13.33203125" style="346" customWidth="1"/>
    <col min="9223" max="9472" width="8.88671875" style="346"/>
    <col min="9473" max="9473" width="15.77734375" style="346" customWidth="1"/>
    <col min="9474" max="9474" width="49.109375" style="346" customWidth="1"/>
    <col min="9475" max="9475" width="11.21875" style="346" customWidth="1"/>
    <col min="9476" max="9476" width="9.77734375" style="346" customWidth="1"/>
    <col min="9477" max="9477" width="10.44140625" style="346" bestFit="1" customWidth="1"/>
    <col min="9478" max="9478" width="13.33203125" style="346" customWidth="1"/>
    <col min="9479" max="9728" width="8.88671875" style="346"/>
    <col min="9729" max="9729" width="15.77734375" style="346" customWidth="1"/>
    <col min="9730" max="9730" width="49.109375" style="346" customWidth="1"/>
    <col min="9731" max="9731" width="11.21875" style="346" customWidth="1"/>
    <col min="9732" max="9732" width="9.77734375" style="346" customWidth="1"/>
    <col min="9733" max="9733" width="10.44140625" style="346" bestFit="1" customWidth="1"/>
    <col min="9734" max="9734" width="13.33203125" style="346" customWidth="1"/>
    <col min="9735" max="9984" width="8.88671875" style="346"/>
    <col min="9985" max="9985" width="15.77734375" style="346" customWidth="1"/>
    <col min="9986" max="9986" width="49.109375" style="346" customWidth="1"/>
    <col min="9987" max="9987" width="11.21875" style="346" customWidth="1"/>
    <col min="9988" max="9988" width="9.77734375" style="346" customWidth="1"/>
    <col min="9989" max="9989" width="10.44140625" style="346" bestFit="1" customWidth="1"/>
    <col min="9990" max="9990" width="13.33203125" style="346" customWidth="1"/>
    <col min="9991" max="10240" width="8.88671875" style="346"/>
    <col min="10241" max="10241" width="15.77734375" style="346" customWidth="1"/>
    <col min="10242" max="10242" width="49.109375" style="346" customWidth="1"/>
    <col min="10243" max="10243" width="11.21875" style="346" customWidth="1"/>
    <col min="10244" max="10244" width="9.77734375" style="346" customWidth="1"/>
    <col min="10245" max="10245" width="10.44140625" style="346" bestFit="1" customWidth="1"/>
    <col min="10246" max="10246" width="13.33203125" style="346" customWidth="1"/>
    <col min="10247" max="10496" width="8.88671875" style="346"/>
    <col min="10497" max="10497" width="15.77734375" style="346" customWidth="1"/>
    <col min="10498" max="10498" width="49.109375" style="346" customWidth="1"/>
    <col min="10499" max="10499" width="11.21875" style="346" customWidth="1"/>
    <col min="10500" max="10500" width="9.77734375" style="346" customWidth="1"/>
    <col min="10501" max="10501" width="10.44140625" style="346" bestFit="1" customWidth="1"/>
    <col min="10502" max="10502" width="13.33203125" style="346" customWidth="1"/>
    <col min="10503" max="10752" width="8.88671875" style="346"/>
    <col min="10753" max="10753" width="15.77734375" style="346" customWidth="1"/>
    <col min="10754" max="10754" width="49.109375" style="346" customWidth="1"/>
    <col min="10755" max="10755" width="11.21875" style="346" customWidth="1"/>
    <col min="10756" max="10756" width="9.77734375" style="346" customWidth="1"/>
    <col min="10757" max="10757" width="10.44140625" style="346" bestFit="1" customWidth="1"/>
    <col min="10758" max="10758" width="13.33203125" style="346" customWidth="1"/>
    <col min="10759" max="11008" width="8.88671875" style="346"/>
    <col min="11009" max="11009" width="15.77734375" style="346" customWidth="1"/>
    <col min="11010" max="11010" width="49.109375" style="346" customWidth="1"/>
    <col min="11011" max="11011" width="11.21875" style="346" customWidth="1"/>
    <col min="11012" max="11012" width="9.77734375" style="346" customWidth="1"/>
    <col min="11013" max="11013" width="10.44140625" style="346" bestFit="1" customWidth="1"/>
    <col min="11014" max="11014" width="13.33203125" style="346" customWidth="1"/>
    <col min="11015" max="11264" width="8.88671875" style="346"/>
    <col min="11265" max="11265" width="15.77734375" style="346" customWidth="1"/>
    <col min="11266" max="11266" width="49.109375" style="346" customWidth="1"/>
    <col min="11267" max="11267" width="11.21875" style="346" customWidth="1"/>
    <col min="11268" max="11268" width="9.77734375" style="346" customWidth="1"/>
    <col min="11269" max="11269" width="10.44140625" style="346" bestFit="1" customWidth="1"/>
    <col min="11270" max="11270" width="13.33203125" style="346" customWidth="1"/>
    <col min="11271" max="11520" width="8.88671875" style="346"/>
    <col min="11521" max="11521" width="15.77734375" style="346" customWidth="1"/>
    <col min="11522" max="11522" width="49.109375" style="346" customWidth="1"/>
    <col min="11523" max="11523" width="11.21875" style="346" customWidth="1"/>
    <col min="11524" max="11524" width="9.77734375" style="346" customWidth="1"/>
    <col min="11525" max="11525" width="10.44140625" style="346" bestFit="1" customWidth="1"/>
    <col min="11526" max="11526" width="13.33203125" style="346" customWidth="1"/>
    <col min="11527" max="11776" width="8.88671875" style="346"/>
    <col min="11777" max="11777" width="15.77734375" style="346" customWidth="1"/>
    <col min="11778" max="11778" width="49.109375" style="346" customWidth="1"/>
    <col min="11779" max="11779" width="11.21875" style="346" customWidth="1"/>
    <col min="11780" max="11780" width="9.77734375" style="346" customWidth="1"/>
    <col min="11781" max="11781" width="10.44140625" style="346" bestFit="1" customWidth="1"/>
    <col min="11782" max="11782" width="13.33203125" style="346" customWidth="1"/>
    <col min="11783" max="12032" width="8.88671875" style="346"/>
    <col min="12033" max="12033" width="15.77734375" style="346" customWidth="1"/>
    <col min="12034" max="12034" width="49.109375" style="346" customWidth="1"/>
    <col min="12035" max="12035" width="11.21875" style="346" customWidth="1"/>
    <col min="12036" max="12036" width="9.77734375" style="346" customWidth="1"/>
    <col min="12037" max="12037" width="10.44140625" style="346" bestFit="1" customWidth="1"/>
    <col min="12038" max="12038" width="13.33203125" style="346" customWidth="1"/>
    <col min="12039" max="12288" width="8.88671875" style="346"/>
    <col min="12289" max="12289" width="15.77734375" style="346" customWidth="1"/>
    <col min="12290" max="12290" width="49.109375" style="346" customWidth="1"/>
    <col min="12291" max="12291" width="11.21875" style="346" customWidth="1"/>
    <col min="12292" max="12292" width="9.77734375" style="346" customWidth="1"/>
    <col min="12293" max="12293" width="10.44140625" style="346" bestFit="1" customWidth="1"/>
    <col min="12294" max="12294" width="13.33203125" style="346" customWidth="1"/>
    <col min="12295" max="12544" width="8.88671875" style="346"/>
    <col min="12545" max="12545" width="15.77734375" style="346" customWidth="1"/>
    <col min="12546" max="12546" width="49.109375" style="346" customWidth="1"/>
    <col min="12547" max="12547" width="11.21875" style="346" customWidth="1"/>
    <col min="12548" max="12548" width="9.77734375" style="346" customWidth="1"/>
    <col min="12549" max="12549" width="10.44140625" style="346" bestFit="1" customWidth="1"/>
    <col min="12550" max="12550" width="13.33203125" style="346" customWidth="1"/>
    <col min="12551" max="12800" width="8.88671875" style="346"/>
    <col min="12801" max="12801" width="15.77734375" style="346" customWidth="1"/>
    <col min="12802" max="12802" width="49.109375" style="346" customWidth="1"/>
    <col min="12803" max="12803" width="11.21875" style="346" customWidth="1"/>
    <col min="12804" max="12804" width="9.77734375" style="346" customWidth="1"/>
    <col min="12805" max="12805" width="10.44140625" style="346" bestFit="1" customWidth="1"/>
    <col min="12806" max="12806" width="13.33203125" style="346" customWidth="1"/>
    <col min="12807" max="13056" width="8.88671875" style="346"/>
    <col min="13057" max="13057" width="15.77734375" style="346" customWidth="1"/>
    <col min="13058" max="13058" width="49.109375" style="346" customWidth="1"/>
    <col min="13059" max="13059" width="11.21875" style="346" customWidth="1"/>
    <col min="13060" max="13060" width="9.77734375" style="346" customWidth="1"/>
    <col min="13061" max="13061" width="10.44140625" style="346" bestFit="1" customWidth="1"/>
    <col min="13062" max="13062" width="13.33203125" style="346" customWidth="1"/>
    <col min="13063" max="13312" width="8.88671875" style="346"/>
    <col min="13313" max="13313" width="15.77734375" style="346" customWidth="1"/>
    <col min="13314" max="13314" width="49.109375" style="346" customWidth="1"/>
    <col min="13315" max="13315" width="11.21875" style="346" customWidth="1"/>
    <col min="13316" max="13316" width="9.77734375" style="346" customWidth="1"/>
    <col min="13317" max="13317" width="10.44140625" style="346" bestFit="1" customWidth="1"/>
    <col min="13318" max="13318" width="13.33203125" style="346" customWidth="1"/>
    <col min="13319" max="13568" width="8.88671875" style="346"/>
    <col min="13569" max="13569" width="15.77734375" style="346" customWidth="1"/>
    <col min="13570" max="13570" width="49.109375" style="346" customWidth="1"/>
    <col min="13571" max="13571" width="11.21875" style="346" customWidth="1"/>
    <col min="13572" max="13572" width="9.77734375" style="346" customWidth="1"/>
    <col min="13573" max="13573" width="10.44140625" style="346" bestFit="1" customWidth="1"/>
    <col min="13574" max="13574" width="13.33203125" style="346" customWidth="1"/>
    <col min="13575" max="13824" width="8.88671875" style="346"/>
    <col min="13825" max="13825" width="15.77734375" style="346" customWidth="1"/>
    <col min="13826" max="13826" width="49.109375" style="346" customWidth="1"/>
    <col min="13827" max="13827" width="11.21875" style="346" customWidth="1"/>
    <col min="13828" max="13828" width="9.77734375" style="346" customWidth="1"/>
    <col min="13829" max="13829" width="10.44140625" style="346" bestFit="1" customWidth="1"/>
    <col min="13830" max="13830" width="13.33203125" style="346" customWidth="1"/>
    <col min="13831" max="14080" width="8.88671875" style="346"/>
    <col min="14081" max="14081" width="15.77734375" style="346" customWidth="1"/>
    <col min="14082" max="14082" width="49.109375" style="346" customWidth="1"/>
    <col min="14083" max="14083" width="11.21875" style="346" customWidth="1"/>
    <col min="14084" max="14084" width="9.77734375" style="346" customWidth="1"/>
    <col min="14085" max="14085" width="10.44140625" style="346" bestFit="1" customWidth="1"/>
    <col min="14086" max="14086" width="13.33203125" style="346" customWidth="1"/>
    <col min="14087" max="14336" width="8.88671875" style="346"/>
    <col min="14337" max="14337" width="15.77734375" style="346" customWidth="1"/>
    <col min="14338" max="14338" width="49.109375" style="346" customWidth="1"/>
    <col min="14339" max="14339" width="11.21875" style="346" customWidth="1"/>
    <col min="14340" max="14340" width="9.77734375" style="346" customWidth="1"/>
    <col min="14341" max="14341" width="10.44140625" style="346" bestFit="1" customWidth="1"/>
    <col min="14342" max="14342" width="13.33203125" style="346" customWidth="1"/>
    <col min="14343" max="14592" width="8.88671875" style="346"/>
    <col min="14593" max="14593" width="15.77734375" style="346" customWidth="1"/>
    <col min="14594" max="14594" width="49.109375" style="346" customWidth="1"/>
    <col min="14595" max="14595" width="11.21875" style="346" customWidth="1"/>
    <col min="14596" max="14596" width="9.77734375" style="346" customWidth="1"/>
    <col min="14597" max="14597" width="10.44140625" style="346" bestFit="1" customWidth="1"/>
    <col min="14598" max="14598" width="13.33203125" style="346" customWidth="1"/>
    <col min="14599" max="14848" width="8.88671875" style="346"/>
    <col min="14849" max="14849" width="15.77734375" style="346" customWidth="1"/>
    <col min="14850" max="14850" width="49.109375" style="346" customWidth="1"/>
    <col min="14851" max="14851" width="11.21875" style="346" customWidth="1"/>
    <col min="14852" max="14852" width="9.77734375" style="346" customWidth="1"/>
    <col min="14853" max="14853" width="10.44140625" style="346" bestFit="1" customWidth="1"/>
    <col min="14854" max="14854" width="13.33203125" style="346" customWidth="1"/>
    <col min="14855" max="15104" width="8.88671875" style="346"/>
    <col min="15105" max="15105" width="15.77734375" style="346" customWidth="1"/>
    <col min="15106" max="15106" width="49.109375" style="346" customWidth="1"/>
    <col min="15107" max="15107" width="11.21875" style="346" customWidth="1"/>
    <col min="15108" max="15108" width="9.77734375" style="346" customWidth="1"/>
    <col min="15109" max="15109" width="10.44140625" style="346" bestFit="1" customWidth="1"/>
    <col min="15110" max="15110" width="13.33203125" style="346" customWidth="1"/>
    <col min="15111" max="15360" width="8.88671875" style="346"/>
    <col min="15361" max="15361" width="15.77734375" style="346" customWidth="1"/>
    <col min="15362" max="15362" width="49.109375" style="346" customWidth="1"/>
    <col min="15363" max="15363" width="11.21875" style="346" customWidth="1"/>
    <col min="15364" max="15364" width="9.77734375" style="346" customWidth="1"/>
    <col min="15365" max="15365" width="10.44140625" style="346" bestFit="1" customWidth="1"/>
    <col min="15366" max="15366" width="13.33203125" style="346" customWidth="1"/>
    <col min="15367" max="15616" width="8.88671875" style="346"/>
    <col min="15617" max="15617" width="15.77734375" style="346" customWidth="1"/>
    <col min="15618" max="15618" width="49.109375" style="346" customWidth="1"/>
    <col min="15619" max="15619" width="11.21875" style="346" customWidth="1"/>
    <col min="15620" max="15620" width="9.77734375" style="346" customWidth="1"/>
    <col min="15621" max="15621" width="10.44140625" style="346" bestFit="1" customWidth="1"/>
    <col min="15622" max="15622" width="13.33203125" style="346" customWidth="1"/>
    <col min="15623" max="15872" width="8.88671875" style="346"/>
    <col min="15873" max="15873" width="15.77734375" style="346" customWidth="1"/>
    <col min="15874" max="15874" width="49.109375" style="346" customWidth="1"/>
    <col min="15875" max="15875" width="11.21875" style="346" customWidth="1"/>
    <col min="15876" max="15876" width="9.77734375" style="346" customWidth="1"/>
    <col min="15877" max="15877" width="10.44140625" style="346" bestFit="1" customWidth="1"/>
    <col min="15878" max="15878" width="13.33203125" style="346" customWidth="1"/>
    <col min="15879" max="16128" width="8.88671875" style="346"/>
    <col min="16129" max="16129" width="15.77734375" style="346" customWidth="1"/>
    <col min="16130" max="16130" width="49.109375" style="346" customWidth="1"/>
    <col min="16131" max="16131" width="11.21875" style="346" customWidth="1"/>
    <col min="16132" max="16132" width="9.77734375" style="346" customWidth="1"/>
    <col min="16133" max="16133" width="10.44140625" style="346" bestFit="1" customWidth="1"/>
    <col min="16134" max="16134" width="13.33203125" style="346" customWidth="1"/>
    <col min="16135" max="16384" width="8.88671875" style="346"/>
  </cols>
  <sheetData>
    <row r="1" spans="1:6" x14ac:dyDescent="0.25">
      <c r="A1" s="370"/>
      <c r="B1" s="370"/>
      <c r="C1" s="370"/>
      <c r="D1" s="370"/>
      <c r="E1" s="370"/>
      <c r="F1" s="370"/>
    </row>
    <row r="2" spans="1:6" ht="15" customHeight="1" x14ac:dyDescent="0.25">
      <c r="A2" s="373" t="str">
        <f>'Planilha Orcamentaria'!A6:E6</f>
        <v>PROPONENTE: PREFEITURA MUNICIPAL DE CARVALHOS</v>
      </c>
      <c r="B2" s="373"/>
      <c r="C2" s="374"/>
      <c r="D2" s="374"/>
      <c r="E2" s="374"/>
      <c r="F2" s="374"/>
    </row>
    <row r="3" spans="1:6" ht="15" customHeight="1" x14ac:dyDescent="0.25">
      <c r="A3" s="373" t="str">
        <f>'Planilha Orcamentaria'!A7:E7</f>
        <v>OBJETO: CONSTRUÇÃO DO CENTRO DE FISIOTERAPIA MUNICIPAL</v>
      </c>
      <c r="B3" s="373"/>
      <c r="C3" s="374"/>
      <c r="D3" s="374"/>
      <c r="E3" s="374"/>
      <c r="F3" s="374"/>
    </row>
    <row r="4" spans="1:6" ht="15" customHeight="1" x14ac:dyDescent="0.25">
      <c r="A4" s="373" t="str">
        <f>'Planilha Orcamentaria'!A8:E8</f>
        <v>LOCAL: PRAÇA IBRAHIM PEREIRA DA CUNHA, S/N° - CENTRO- CARVALHOS - MG</v>
      </c>
      <c r="B4" s="373"/>
      <c r="C4" s="374"/>
      <c r="D4" s="374"/>
      <c r="E4" s="374"/>
      <c r="F4" s="374"/>
    </row>
    <row r="5" spans="1:6" ht="28.2" customHeight="1" x14ac:dyDescent="0.25">
      <c r="A5" s="406" t="str">
        <f>'Planilha Orcamentaria'!A9:D9</f>
        <v xml:space="preserve">REGIÃO/MÊS DE REFERÊNCIA: SEINFRA REGIÃO SUL OUTUBRO /2021 E SINAPI DEZEMBRO /2021 PREÇO DE CUSTO COM DESONERAÇÃO FISCAL - LEI 12.546/2011 e 12.844/2013 </v>
      </c>
      <c r="B5" s="406"/>
      <c r="C5" s="406"/>
      <c r="D5" s="406"/>
      <c r="E5" s="406"/>
      <c r="F5" s="406"/>
    </row>
    <row r="6" spans="1:6" ht="15" customHeight="1" x14ac:dyDescent="0.25">
      <c r="A6" s="373" t="s">
        <v>31</v>
      </c>
      <c r="B6" s="373"/>
      <c r="C6" s="374"/>
      <c r="D6" s="374"/>
      <c r="E6" s="374"/>
      <c r="F6" s="374"/>
    </row>
    <row r="7" spans="1:6" ht="13.8" thickBot="1" x14ac:dyDescent="0.3">
      <c r="A7" s="370"/>
      <c r="B7" s="370"/>
      <c r="C7" s="370"/>
      <c r="D7" s="370"/>
      <c r="E7" s="370"/>
      <c r="F7" s="370"/>
    </row>
    <row r="8" spans="1:6" ht="14.4" x14ac:dyDescent="0.3">
      <c r="A8" s="375"/>
      <c r="B8" s="407" t="s">
        <v>813</v>
      </c>
      <c r="C8" s="408"/>
      <c r="D8" s="408"/>
      <c r="E8" s="408"/>
      <c r="F8" s="409"/>
    </row>
    <row r="9" spans="1:6" x14ac:dyDescent="0.25">
      <c r="A9" s="376"/>
      <c r="B9" s="347" t="s">
        <v>564</v>
      </c>
      <c r="C9" s="348" t="s">
        <v>8</v>
      </c>
      <c r="D9" s="348" t="s">
        <v>565</v>
      </c>
      <c r="E9" s="349"/>
      <c r="F9" s="377" t="s">
        <v>567</v>
      </c>
    </row>
    <row r="10" spans="1:6" ht="32.4" customHeight="1" x14ac:dyDescent="0.25">
      <c r="A10" s="378" t="s">
        <v>814</v>
      </c>
      <c r="B10" s="350" t="s">
        <v>808</v>
      </c>
      <c r="C10" s="351" t="s">
        <v>18</v>
      </c>
      <c r="D10" s="352">
        <v>44562</v>
      </c>
      <c r="E10" s="349"/>
      <c r="F10" s="379">
        <f>IF(ISERROR(MEDIAN(F12:F15)),0,ROUND(MEDIAN(F12:F16),2))</f>
        <v>44.25</v>
      </c>
    </row>
    <row r="11" spans="1:6" x14ac:dyDescent="0.25">
      <c r="A11" s="380" t="s">
        <v>815</v>
      </c>
      <c r="B11" s="353" t="s">
        <v>816</v>
      </c>
      <c r="C11" s="354" t="s">
        <v>817</v>
      </c>
      <c r="D11" s="354" t="s">
        <v>818</v>
      </c>
      <c r="E11" s="355" t="s">
        <v>819</v>
      </c>
      <c r="F11" s="381" t="s">
        <v>820</v>
      </c>
    </row>
    <row r="12" spans="1:6" s="360" customFormat="1" ht="23.4" customHeight="1" x14ac:dyDescent="0.25">
      <c r="A12" s="382" t="s">
        <v>828</v>
      </c>
      <c r="B12" s="356" t="s">
        <v>829</v>
      </c>
      <c r="C12" s="357" t="s">
        <v>836</v>
      </c>
      <c r="D12" s="358" t="s">
        <v>821</v>
      </c>
      <c r="E12" s="359">
        <v>44579</v>
      </c>
      <c r="F12" s="383">
        <v>44.25</v>
      </c>
    </row>
    <row r="13" spans="1:6" s="360" customFormat="1" x14ac:dyDescent="0.25">
      <c r="A13" s="382" t="s">
        <v>835</v>
      </c>
      <c r="B13" s="356" t="s">
        <v>830</v>
      </c>
      <c r="C13" s="357" t="s">
        <v>834</v>
      </c>
      <c r="D13" s="358" t="s">
        <v>823</v>
      </c>
      <c r="E13" s="359">
        <v>44580</v>
      </c>
      <c r="F13" s="383">
        <v>47.3</v>
      </c>
    </row>
    <row r="14" spans="1:6" s="360" customFormat="1" x14ac:dyDescent="0.25">
      <c r="A14" s="382" t="s">
        <v>832</v>
      </c>
      <c r="B14" s="356" t="s">
        <v>831</v>
      </c>
      <c r="C14" s="357" t="s">
        <v>833</v>
      </c>
      <c r="D14" s="358" t="s">
        <v>837</v>
      </c>
      <c r="E14" s="359">
        <v>44581</v>
      </c>
      <c r="F14" s="383">
        <v>43.78</v>
      </c>
    </row>
    <row r="15" spans="1:6" x14ac:dyDescent="0.25">
      <c r="A15" s="384"/>
      <c r="B15" s="361"/>
      <c r="C15" s="362"/>
      <c r="D15" s="363"/>
      <c r="E15" s="364"/>
      <c r="F15" s="385"/>
    </row>
    <row r="16" spans="1:6" ht="4.95" customHeight="1" x14ac:dyDescent="0.25">
      <c r="A16" s="410"/>
      <c r="B16" s="411"/>
      <c r="C16" s="411"/>
      <c r="D16" s="411"/>
      <c r="E16" s="411"/>
      <c r="F16" s="412"/>
    </row>
    <row r="17" spans="1:6" x14ac:dyDescent="0.25">
      <c r="A17" s="376"/>
      <c r="B17" s="347" t="s">
        <v>564</v>
      </c>
      <c r="C17" s="348" t="s">
        <v>8</v>
      </c>
      <c r="D17" s="348" t="s">
        <v>565</v>
      </c>
      <c r="E17" s="349"/>
      <c r="F17" s="377" t="s">
        <v>567</v>
      </c>
    </row>
    <row r="18" spans="1:6" ht="32.4" customHeight="1" x14ac:dyDescent="0.25">
      <c r="A18" s="378" t="s">
        <v>822</v>
      </c>
      <c r="B18" s="350" t="s">
        <v>827</v>
      </c>
      <c r="C18" s="351" t="s">
        <v>18</v>
      </c>
      <c r="D18" s="352">
        <v>44562</v>
      </c>
      <c r="E18" s="349"/>
      <c r="F18" s="379">
        <f>IF(ISERROR(MEDIAN(F20:F23)),0,ROUND(MEDIAN(F20:F24),2))</f>
        <v>5</v>
      </c>
    </row>
    <row r="19" spans="1:6" x14ac:dyDescent="0.25">
      <c r="A19" s="380" t="s">
        <v>815</v>
      </c>
      <c r="B19" s="353" t="s">
        <v>816</v>
      </c>
      <c r="C19" s="354" t="s">
        <v>817</v>
      </c>
      <c r="D19" s="354" t="s">
        <v>818</v>
      </c>
      <c r="E19" s="355" t="s">
        <v>819</v>
      </c>
      <c r="F19" s="381" t="s">
        <v>820</v>
      </c>
    </row>
    <row r="20" spans="1:6" s="360" customFormat="1" ht="20.399999999999999" x14ac:dyDescent="0.25">
      <c r="A20" s="382" t="s">
        <v>828</v>
      </c>
      <c r="B20" s="356" t="s">
        <v>829</v>
      </c>
      <c r="C20" s="357" t="s">
        <v>836</v>
      </c>
      <c r="D20" s="358" t="s">
        <v>821</v>
      </c>
      <c r="E20" s="359">
        <v>44579</v>
      </c>
      <c r="F20" s="383">
        <v>5.0999999999999996</v>
      </c>
    </row>
    <row r="21" spans="1:6" s="360" customFormat="1" x14ac:dyDescent="0.25">
      <c r="A21" s="382" t="s">
        <v>835</v>
      </c>
      <c r="B21" s="356" t="s">
        <v>830</v>
      </c>
      <c r="C21" s="357" t="s">
        <v>834</v>
      </c>
      <c r="D21" s="358" t="s">
        <v>823</v>
      </c>
      <c r="E21" s="359">
        <v>44580</v>
      </c>
      <c r="F21" s="383">
        <v>5</v>
      </c>
    </row>
    <row r="22" spans="1:6" s="360" customFormat="1" x14ac:dyDescent="0.25">
      <c r="A22" s="382" t="s">
        <v>832</v>
      </c>
      <c r="B22" s="356" t="s">
        <v>831</v>
      </c>
      <c r="C22" s="357" t="s">
        <v>833</v>
      </c>
      <c r="D22" s="358" t="s">
        <v>837</v>
      </c>
      <c r="E22" s="359">
        <v>44581</v>
      </c>
      <c r="F22" s="383">
        <v>4.49</v>
      </c>
    </row>
    <row r="23" spans="1:6" x14ac:dyDescent="0.25">
      <c r="A23" s="384"/>
      <c r="B23" s="361"/>
      <c r="C23" s="362"/>
      <c r="D23" s="363"/>
      <c r="E23" s="364"/>
      <c r="F23" s="385"/>
    </row>
    <row r="24" spans="1:6" ht="4.95" customHeight="1" thickBot="1" x14ac:dyDescent="0.3">
      <c r="A24" s="413"/>
      <c r="B24" s="414"/>
      <c r="C24" s="414"/>
      <c r="D24" s="414"/>
      <c r="E24" s="414"/>
      <c r="F24" s="415"/>
    </row>
    <row r="25" spans="1:6" x14ac:dyDescent="0.25">
      <c r="A25" s="370"/>
      <c r="B25" s="370"/>
      <c r="C25" s="370"/>
      <c r="D25" s="370"/>
      <c r="E25" s="370"/>
      <c r="F25" s="370"/>
    </row>
    <row r="26" spans="1:6" x14ac:dyDescent="0.25">
      <c r="A26" s="370"/>
      <c r="B26" s="370"/>
      <c r="C26" s="370"/>
      <c r="D26" s="370"/>
      <c r="E26" s="370"/>
      <c r="F26" s="370"/>
    </row>
    <row r="27" spans="1:6" x14ac:dyDescent="0.25">
      <c r="A27" s="370"/>
      <c r="B27" s="370"/>
      <c r="C27" s="370"/>
      <c r="D27" s="370"/>
      <c r="E27" s="370"/>
      <c r="F27" s="370"/>
    </row>
    <row r="28" spans="1:6" x14ac:dyDescent="0.25">
      <c r="A28" s="371"/>
      <c r="B28" s="366" t="s">
        <v>824</v>
      </c>
      <c r="C28" s="371"/>
      <c r="D28" s="370"/>
      <c r="E28" s="370"/>
      <c r="F28" s="370"/>
    </row>
    <row r="29" spans="1:6" x14ac:dyDescent="0.25">
      <c r="A29" s="372"/>
      <c r="B29" s="367" t="s">
        <v>825</v>
      </c>
      <c r="C29" s="372"/>
      <c r="D29" s="370"/>
      <c r="E29" s="370"/>
      <c r="F29" s="370"/>
    </row>
    <row r="30" spans="1:6" ht="13.8" x14ac:dyDescent="0.25">
      <c r="A30" s="372"/>
      <c r="B30" s="368" t="s">
        <v>826</v>
      </c>
      <c r="C30" s="372"/>
      <c r="D30" s="370"/>
      <c r="E30" s="370"/>
      <c r="F30" s="370"/>
    </row>
    <row r="31" spans="1:6" x14ac:dyDescent="0.25">
      <c r="A31" s="372"/>
      <c r="B31" s="372"/>
      <c r="C31" s="372"/>
      <c r="D31" s="370"/>
      <c r="E31" s="370"/>
      <c r="F31" s="370"/>
    </row>
    <row r="32" spans="1:6" x14ac:dyDescent="0.25">
      <c r="A32" s="365"/>
      <c r="B32" s="365"/>
      <c r="C32" s="369"/>
    </row>
  </sheetData>
  <mergeCells count="4">
    <mergeCell ref="A5:F5"/>
    <mergeCell ref="B8:F8"/>
    <mergeCell ref="A16:F16"/>
    <mergeCell ref="A24:F24"/>
  </mergeCells>
  <printOptions horizontalCentered="1"/>
  <pageMargins left="0" right="0" top="0.59055118110236227" bottom="0" header="0" footer="0"/>
  <pageSetup paperSize="9" scale="9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view="pageBreakPreview" topLeftCell="A16" zoomScale="60" zoomScaleNormal="100" workbookViewId="0">
      <selection activeCell="C44" sqref="C44"/>
    </sheetView>
  </sheetViews>
  <sheetFormatPr defaultRowHeight="13.2" x14ac:dyDescent="0.25"/>
  <cols>
    <col min="1" max="1" width="10.5546875" customWidth="1"/>
    <col min="2" max="2" width="16" customWidth="1"/>
    <col min="3" max="3" width="58" customWidth="1"/>
    <col min="4" max="4" width="7.109375" bestFit="1" customWidth="1"/>
    <col min="5" max="5" width="10.44140625" bestFit="1" customWidth="1"/>
    <col min="6" max="6" width="11.88671875" bestFit="1" customWidth="1"/>
    <col min="7" max="7" width="14.33203125" bestFit="1" customWidth="1"/>
  </cols>
  <sheetData>
    <row r="1" spans="1:7" ht="14.4" x14ac:dyDescent="0.3">
      <c r="A1" s="288"/>
      <c r="B1" s="416" t="s">
        <v>563</v>
      </c>
      <c r="C1" s="417"/>
      <c r="D1" s="417"/>
      <c r="E1" s="417"/>
      <c r="F1" s="417"/>
      <c r="G1" s="418"/>
    </row>
    <row r="2" spans="1:7" x14ac:dyDescent="0.25">
      <c r="A2" s="289"/>
      <c r="B2" s="290"/>
      <c r="C2" s="291" t="s">
        <v>564</v>
      </c>
      <c r="D2" s="292" t="s">
        <v>8</v>
      </c>
      <c r="E2" s="292" t="s">
        <v>565</v>
      </c>
      <c r="F2" s="293" t="s">
        <v>566</v>
      </c>
      <c r="G2" s="294" t="s">
        <v>567</v>
      </c>
    </row>
    <row r="3" spans="1:7" ht="20.399999999999999" x14ac:dyDescent="0.25">
      <c r="A3" s="295"/>
      <c r="B3" s="296" t="s">
        <v>568</v>
      </c>
      <c r="C3" s="297" t="s">
        <v>575</v>
      </c>
      <c r="D3" s="298" t="s">
        <v>258</v>
      </c>
      <c r="E3" s="339">
        <v>44470</v>
      </c>
      <c r="F3" s="299" t="s">
        <v>576</v>
      </c>
      <c r="G3" s="300">
        <f>SUM(G5:G7)</f>
        <v>299.39749999999998</v>
      </c>
    </row>
    <row r="4" spans="1:7" x14ac:dyDescent="0.25">
      <c r="A4" s="301"/>
      <c r="B4" s="302" t="s">
        <v>6</v>
      </c>
      <c r="C4" s="301" t="s">
        <v>570</v>
      </c>
      <c r="D4" s="303" t="s">
        <v>8</v>
      </c>
      <c r="E4" s="303" t="s">
        <v>571</v>
      </c>
      <c r="F4" s="303" t="s">
        <v>572</v>
      </c>
      <c r="G4" s="303" t="s">
        <v>573</v>
      </c>
    </row>
    <row r="5" spans="1:7" x14ac:dyDescent="0.25">
      <c r="A5" s="304" t="s">
        <v>574</v>
      </c>
      <c r="B5" s="305">
        <v>39456</v>
      </c>
      <c r="C5" s="306" t="s">
        <v>551</v>
      </c>
      <c r="D5" s="304" t="s">
        <v>258</v>
      </c>
      <c r="E5" s="307">
        <v>1</v>
      </c>
      <c r="F5" s="308">
        <v>279.24</v>
      </c>
      <c r="G5" s="309">
        <f>E5*F5</f>
        <v>279.24</v>
      </c>
    </row>
    <row r="6" spans="1:7" x14ac:dyDescent="0.25">
      <c r="A6" s="304" t="s">
        <v>569</v>
      </c>
      <c r="B6" s="305" t="s">
        <v>788</v>
      </c>
      <c r="C6" s="306" t="s">
        <v>577</v>
      </c>
      <c r="D6" s="304" t="s">
        <v>578</v>
      </c>
      <c r="E6" s="307">
        <v>0.55000000000000004</v>
      </c>
      <c r="F6" s="308">
        <v>15.95</v>
      </c>
      <c r="G6" s="309">
        <f>E6*F6</f>
        <v>8.7725000000000009</v>
      </c>
    </row>
    <row r="7" spans="1:7" x14ac:dyDescent="0.25">
      <c r="A7" s="304" t="s">
        <v>569</v>
      </c>
      <c r="B7" s="305" t="s">
        <v>789</v>
      </c>
      <c r="C7" s="306" t="s">
        <v>579</v>
      </c>
      <c r="D7" s="304" t="s">
        <v>578</v>
      </c>
      <c r="E7" s="307">
        <v>0.55000000000000004</v>
      </c>
      <c r="F7" s="308">
        <v>20.7</v>
      </c>
      <c r="G7" s="309">
        <f>E7*F7</f>
        <v>11.385</v>
      </c>
    </row>
    <row r="8" spans="1:7" x14ac:dyDescent="0.25">
      <c r="A8" s="305"/>
      <c r="B8" s="305"/>
      <c r="C8" s="310"/>
      <c r="D8" s="311"/>
      <c r="E8" s="307"/>
      <c r="F8" s="308"/>
      <c r="G8" s="312"/>
    </row>
    <row r="9" spans="1:7" ht="7.05" customHeight="1" x14ac:dyDescent="0.25">
      <c r="A9" s="313"/>
      <c r="B9" s="314"/>
      <c r="C9" s="314"/>
      <c r="D9" s="314"/>
      <c r="E9" s="314"/>
      <c r="F9" s="314"/>
      <c r="G9" s="315"/>
    </row>
    <row r="10" spans="1:7" x14ac:dyDescent="0.25">
      <c r="A10" s="289"/>
      <c r="B10" s="290"/>
      <c r="C10" s="291" t="s">
        <v>564</v>
      </c>
      <c r="D10" s="292" t="s">
        <v>8</v>
      </c>
      <c r="E10" s="292" t="s">
        <v>565</v>
      </c>
      <c r="F10" s="293" t="s">
        <v>566</v>
      </c>
      <c r="G10" s="294" t="s">
        <v>567</v>
      </c>
    </row>
    <row r="11" spans="1:7" ht="25.2" customHeight="1" x14ac:dyDescent="0.25">
      <c r="A11" s="295"/>
      <c r="B11" s="296" t="s">
        <v>580</v>
      </c>
      <c r="C11" s="297" t="s">
        <v>575</v>
      </c>
      <c r="D11" s="298" t="s">
        <v>258</v>
      </c>
      <c r="E11" s="339">
        <v>44470</v>
      </c>
      <c r="F11" s="299" t="s">
        <v>576</v>
      </c>
      <c r="G11" s="300">
        <f>SUM(G13:G15)</f>
        <v>144.16749999999999</v>
      </c>
    </row>
    <row r="12" spans="1:7" x14ac:dyDescent="0.25">
      <c r="A12" s="301"/>
      <c r="B12" s="302" t="s">
        <v>6</v>
      </c>
      <c r="C12" s="301" t="s">
        <v>570</v>
      </c>
      <c r="D12" s="303" t="s">
        <v>8</v>
      </c>
      <c r="E12" s="303" t="s">
        <v>571</v>
      </c>
      <c r="F12" s="303" t="s">
        <v>572</v>
      </c>
      <c r="G12" s="303" t="s">
        <v>573</v>
      </c>
    </row>
    <row r="13" spans="1:7" ht="20.399999999999999" x14ac:dyDescent="0.25">
      <c r="A13" s="304" t="s">
        <v>574</v>
      </c>
      <c r="B13" s="305">
        <v>39469</v>
      </c>
      <c r="C13" s="306" t="s">
        <v>581</v>
      </c>
      <c r="D13" s="304" t="s">
        <v>258</v>
      </c>
      <c r="E13" s="307">
        <v>1</v>
      </c>
      <c r="F13" s="308">
        <v>124.01</v>
      </c>
      <c r="G13" s="309">
        <f>E13*F13</f>
        <v>124.01</v>
      </c>
    </row>
    <row r="14" spans="1:7" x14ac:dyDescent="0.25">
      <c r="A14" s="304" t="s">
        <v>569</v>
      </c>
      <c r="B14" s="305" t="s">
        <v>788</v>
      </c>
      <c r="C14" s="306" t="s">
        <v>577</v>
      </c>
      <c r="D14" s="304" t="s">
        <v>578</v>
      </c>
      <c r="E14" s="307">
        <v>0.55000000000000004</v>
      </c>
      <c r="F14" s="308">
        <v>15.95</v>
      </c>
      <c r="G14" s="309">
        <f>E14*F14</f>
        <v>8.7725000000000009</v>
      </c>
    </row>
    <row r="15" spans="1:7" x14ac:dyDescent="0.25">
      <c r="A15" s="304" t="s">
        <v>569</v>
      </c>
      <c r="B15" s="305" t="s">
        <v>789</v>
      </c>
      <c r="C15" s="306" t="s">
        <v>579</v>
      </c>
      <c r="D15" s="304" t="s">
        <v>578</v>
      </c>
      <c r="E15" s="307">
        <v>0.55000000000000004</v>
      </c>
      <c r="F15" s="308">
        <v>20.7</v>
      </c>
      <c r="G15" s="309">
        <f>E15*F15</f>
        <v>11.385</v>
      </c>
    </row>
    <row r="16" spans="1:7" x14ac:dyDescent="0.25">
      <c r="A16" s="305"/>
      <c r="B16" s="305"/>
      <c r="C16" s="310"/>
      <c r="D16" s="311"/>
      <c r="E16" s="307"/>
      <c r="F16" s="308"/>
      <c r="G16" s="312"/>
    </row>
    <row r="17" spans="1:7" s="9" customFormat="1" ht="7.05" customHeight="1" x14ac:dyDescent="0.25">
      <c r="A17" s="313"/>
      <c r="B17" s="314"/>
      <c r="C17" s="314"/>
      <c r="D17" s="314"/>
      <c r="E17" s="314"/>
      <c r="F17" s="314"/>
      <c r="G17" s="315"/>
    </row>
    <row r="18" spans="1:7" s="9" customFormat="1" x14ac:dyDescent="0.25">
      <c r="A18" s="289"/>
      <c r="B18" s="290"/>
      <c r="C18" s="291" t="s">
        <v>564</v>
      </c>
      <c r="D18" s="292" t="s">
        <v>8</v>
      </c>
      <c r="E18" s="292" t="s">
        <v>565</v>
      </c>
      <c r="F18" s="293" t="s">
        <v>566</v>
      </c>
      <c r="G18" s="294" t="s">
        <v>567</v>
      </c>
    </row>
    <row r="19" spans="1:7" s="9" customFormat="1" ht="42.6" customHeight="1" x14ac:dyDescent="0.25">
      <c r="A19" s="295"/>
      <c r="B19" s="296" t="s">
        <v>591</v>
      </c>
      <c r="C19" s="297" t="s">
        <v>592</v>
      </c>
      <c r="D19" s="298" t="s">
        <v>258</v>
      </c>
      <c r="E19" s="339">
        <v>44470</v>
      </c>
      <c r="F19" s="299" t="s">
        <v>576</v>
      </c>
      <c r="G19" s="300">
        <f>SUM(G21:G26)</f>
        <v>626.00700000000006</v>
      </c>
    </row>
    <row r="20" spans="1:7" s="9" customFormat="1" x14ac:dyDescent="0.25">
      <c r="A20" s="301"/>
      <c r="B20" s="302" t="s">
        <v>6</v>
      </c>
      <c r="C20" s="301" t="s">
        <v>570</v>
      </c>
      <c r="D20" s="303" t="s">
        <v>8</v>
      </c>
      <c r="E20" s="303" t="s">
        <v>571</v>
      </c>
      <c r="F20" s="303" t="s">
        <v>572</v>
      </c>
      <c r="G20" s="303" t="s">
        <v>573</v>
      </c>
    </row>
    <row r="21" spans="1:7" s="9" customFormat="1" x14ac:dyDescent="0.25">
      <c r="A21" s="304" t="s">
        <v>569</v>
      </c>
      <c r="B21" s="305" t="s">
        <v>792</v>
      </c>
      <c r="C21" s="306" t="s">
        <v>593</v>
      </c>
      <c r="D21" s="304" t="s">
        <v>24</v>
      </c>
      <c r="E21" s="307">
        <v>5.0000000000000001E-3</v>
      </c>
      <c r="F21" s="308">
        <v>96.02</v>
      </c>
      <c r="G21" s="309">
        <f>E21*F21</f>
        <v>0.48009999999999997</v>
      </c>
    </row>
    <row r="22" spans="1:7" s="9" customFormat="1" x14ac:dyDescent="0.25">
      <c r="A22" s="304" t="s">
        <v>569</v>
      </c>
      <c r="B22" s="305" t="s">
        <v>793</v>
      </c>
      <c r="C22" s="306" t="s">
        <v>594</v>
      </c>
      <c r="D22" s="304" t="s">
        <v>49</v>
      </c>
      <c r="E22" s="307">
        <v>1.17</v>
      </c>
      <c r="F22" s="308">
        <v>0.56999999999999995</v>
      </c>
      <c r="G22" s="309">
        <f>E22*F22</f>
        <v>0.66689999999999994</v>
      </c>
    </row>
    <row r="23" spans="1:7" s="9" customFormat="1" ht="20.399999999999999" x14ac:dyDescent="0.25">
      <c r="A23" s="304" t="s">
        <v>569</v>
      </c>
      <c r="B23" s="305" t="s">
        <v>794</v>
      </c>
      <c r="C23" s="306" t="s">
        <v>595</v>
      </c>
      <c r="D23" s="304" t="s">
        <v>18</v>
      </c>
      <c r="E23" s="307">
        <v>1</v>
      </c>
      <c r="F23" s="308">
        <v>365.91</v>
      </c>
      <c r="G23" s="309">
        <f>E23*F23</f>
        <v>365.91</v>
      </c>
    </row>
    <row r="24" spans="1:7" s="9" customFormat="1" ht="30.6" x14ac:dyDescent="0.25">
      <c r="A24" s="304" t="s">
        <v>569</v>
      </c>
      <c r="B24" s="305" t="s">
        <v>598</v>
      </c>
      <c r="C24" s="306" t="s">
        <v>599</v>
      </c>
      <c r="D24" s="304" t="s">
        <v>18</v>
      </c>
      <c r="E24" s="307">
        <v>1</v>
      </c>
      <c r="F24" s="308">
        <v>185.37</v>
      </c>
      <c r="G24" s="309">
        <f t="shared" ref="G24:G25" si="0">E24*F24</f>
        <v>185.37</v>
      </c>
    </row>
    <row r="25" spans="1:7" s="9" customFormat="1" x14ac:dyDescent="0.25">
      <c r="A25" s="304" t="s">
        <v>569</v>
      </c>
      <c r="B25" s="305" t="s">
        <v>790</v>
      </c>
      <c r="C25" s="306" t="s">
        <v>596</v>
      </c>
      <c r="D25" s="304" t="s">
        <v>578</v>
      </c>
      <c r="E25" s="307">
        <v>2.5</v>
      </c>
      <c r="F25" s="308">
        <v>20.48</v>
      </c>
      <c r="G25" s="309">
        <f t="shared" si="0"/>
        <v>51.2</v>
      </c>
    </row>
    <row r="26" spans="1:7" s="9" customFormat="1" x14ac:dyDescent="0.25">
      <c r="A26" s="304" t="s">
        <v>569</v>
      </c>
      <c r="B26" s="305" t="s">
        <v>791</v>
      </c>
      <c r="C26" s="306" t="s">
        <v>597</v>
      </c>
      <c r="D26" s="304" t="s">
        <v>578</v>
      </c>
      <c r="E26" s="307">
        <v>1.5</v>
      </c>
      <c r="F26" s="308">
        <v>14.92</v>
      </c>
      <c r="G26" s="309">
        <f>E26*F26</f>
        <v>22.38</v>
      </c>
    </row>
    <row r="27" spans="1:7" s="9" customFormat="1" x14ac:dyDescent="0.25">
      <c r="A27" s="305"/>
      <c r="B27" s="305"/>
      <c r="C27" s="310"/>
      <c r="D27" s="311"/>
      <c r="E27" s="307"/>
      <c r="F27" s="308"/>
      <c r="G27" s="312"/>
    </row>
    <row r="28" spans="1:7" s="9" customFormat="1" ht="7.05" customHeight="1" x14ac:dyDescent="0.25">
      <c r="A28" s="313"/>
      <c r="B28" s="314"/>
      <c r="C28" s="314"/>
      <c r="D28" s="314"/>
      <c r="E28" s="314"/>
      <c r="F28" s="314"/>
      <c r="G28" s="315"/>
    </row>
    <row r="29" spans="1:7" s="9" customFormat="1" x14ac:dyDescent="0.25">
      <c r="A29" s="289"/>
      <c r="B29" s="290"/>
      <c r="C29" s="291" t="s">
        <v>564</v>
      </c>
      <c r="D29" s="292" t="s">
        <v>8</v>
      </c>
      <c r="E29" s="292" t="s">
        <v>565</v>
      </c>
      <c r="F29" s="293" t="s">
        <v>566</v>
      </c>
      <c r="G29" s="294" t="s">
        <v>567</v>
      </c>
    </row>
    <row r="30" spans="1:7" s="9" customFormat="1" ht="42.6" customHeight="1" x14ac:dyDescent="0.25">
      <c r="A30" s="295"/>
      <c r="B30" s="296" t="s">
        <v>810</v>
      </c>
      <c r="C30" s="297" t="s">
        <v>807</v>
      </c>
      <c r="D30" s="298" t="s">
        <v>258</v>
      </c>
      <c r="E30" s="339">
        <v>44470</v>
      </c>
      <c r="F30" s="299" t="s">
        <v>569</v>
      </c>
      <c r="G30" s="300">
        <f>SUM(G32:G33)</f>
        <v>64.73</v>
      </c>
    </row>
    <row r="31" spans="1:7" s="9" customFormat="1" x14ac:dyDescent="0.25">
      <c r="A31" s="301"/>
      <c r="B31" s="302" t="s">
        <v>6</v>
      </c>
      <c r="C31" s="301" t="s">
        <v>570</v>
      </c>
      <c r="D31" s="303" t="s">
        <v>8</v>
      </c>
      <c r="E31" s="303" t="s">
        <v>571</v>
      </c>
      <c r="F31" s="303" t="s">
        <v>572</v>
      </c>
      <c r="G31" s="303" t="s">
        <v>573</v>
      </c>
    </row>
    <row r="32" spans="1:7" s="9" customFormat="1" ht="20.399999999999999" x14ac:dyDescent="0.25">
      <c r="A32" s="304"/>
      <c r="B32" s="344" t="s">
        <v>814</v>
      </c>
      <c r="C32" s="345" t="s">
        <v>808</v>
      </c>
      <c r="D32" s="344" t="s">
        <v>258</v>
      </c>
      <c r="E32" s="307">
        <v>1</v>
      </c>
      <c r="F32" s="308">
        <f>COTAÇÃO!F10</f>
        <v>44.25</v>
      </c>
      <c r="G32" s="309">
        <f>E32*F32</f>
        <v>44.25</v>
      </c>
    </row>
    <row r="33" spans="1:7" s="9" customFormat="1" x14ac:dyDescent="0.25">
      <c r="A33" s="304" t="s">
        <v>569</v>
      </c>
      <c r="B33" s="342" t="s">
        <v>809</v>
      </c>
      <c r="C33" s="343" t="s">
        <v>596</v>
      </c>
      <c r="D33" s="342" t="s">
        <v>578</v>
      </c>
      <c r="E33" s="307">
        <v>1</v>
      </c>
      <c r="F33" s="308">
        <v>20.48</v>
      </c>
      <c r="G33" s="309">
        <f>E33*F33</f>
        <v>20.48</v>
      </c>
    </row>
    <row r="34" spans="1:7" s="9" customFormat="1" x14ac:dyDescent="0.25">
      <c r="A34" s="305"/>
      <c r="B34" s="305"/>
      <c r="C34" s="310"/>
      <c r="D34" s="311"/>
      <c r="E34" s="307"/>
      <c r="F34" s="308"/>
      <c r="G34" s="312"/>
    </row>
    <row r="35" spans="1:7" s="9" customFormat="1" ht="7.05" customHeight="1" x14ac:dyDescent="0.25">
      <c r="A35" s="313"/>
      <c r="B35" s="314"/>
      <c r="C35" s="314"/>
      <c r="D35" s="314"/>
      <c r="E35" s="314"/>
      <c r="F35" s="314"/>
      <c r="G35" s="315"/>
    </row>
    <row r="36" spans="1:7" x14ac:dyDescent="0.25">
      <c r="A36" s="289"/>
      <c r="B36" s="290"/>
      <c r="C36" s="291" t="s">
        <v>564</v>
      </c>
      <c r="D36" s="292" t="s">
        <v>8</v>
      </c>
      <c r="E36" s="292" t="s">
        <v>565</v>
      </c>
      <c r="F36" s="293" t="s">
        <v>566</v>
      </c>
      <c r="G36" s="294" t="s">
        <v>567</v>
      </c>
    </row>
    <row r="37" spans="1:7" ht="22.8" customHeight="1" x14ac:dyDescent="0.25">
      <c r="A37" s="295"/>
      <c r="B37" s="296" t="s">
        <v>811</v>
      </c>
      <c r="C37" s="297" t="s">
        <v>812</v>
      </c>
      <c r="D37" s="298" t="s">
        <v>258</v>
      </c>
      <c r="E37" s="339">
        <v>44470</v>
      </c>
      <c r="F37" s="299" t="s">
        <v>569</v>
      </c>
      <c r="G37" s="300">
        <f>SUM(G39:G40)</f>
        <v>25.48</v>
      </c>
    </row>
    <row r="38" spans="1:7" x14ac:dyDescent="0.25">
      <c r="A38" s="301"/>
      <c r="B38" s="302" t="s">
        <v>6</v>
      </c>
      <c r="C38" s="301" t="s">
        <v>570</v>
      </c>
      <c r="D38" s="303" t="s">
        <v>8</v>
      </c>
      <c r="E38" s="303" t="s">
        <v>571</v>
      </c>
      <c r="F38" s="303" t="s">
        <v>572</v>
      </c>
      <c r="G38" s="303" t="s">
        <v>573</v>
      </c>
    </row>
    <row r="39" spans="1:7" ht="20.399999999999999" x14ac:dyDescent="0.25">
      <c r="A39" s="304"/>
      <c r="B39" s="344" t="s">
        <v>822</v>
      </c>
      <c r="C39" s="345" t="s">
        <v>808</v>
      </c>
      <c r="D39" s="344" t="s">
        <v>258</v>
      </c>
      <c r="E39" s="307">
        <v>1</v>
      </c>
      <c r="F39" s="308">
        <f>COTAÇÃO!F18</f>
        <v>5</v>
      </c>
      <c r="G39" s="309">
        <f>E39*F39</f>
        <v>5</v>
      </c>
    </row>
    <row r="40" spans="1:7" x14ac:dyDescent="0.25">
      <c r="A40" s="304" t="s">
        <v>569</v>
      </c>
      <c r="B40" s="342" t="s">
        <v>809</v>
      </c>
      <c r="C40" s="343" t="s">
        <v>596</v>
      </c>
      <c r="D40" s="342" t="s">
        <v>578</v>
      </c>
      <c r="E40" s="307">
        <v>1</v>
      </c>
      <c r="F40" s="308">
        <v>20.48</v>
      </c>
      <c r="G40" s="309">
        <f>E40*F40</f>
        <v>20.48</v>
      </c>
    </row>
    <row r="41" spans="1:7" x14ac:dyDescent="0.25">
      <c r="A41" s="305"/>
      <c r="B41" s="305"/>
      <c r="C41" s="310"/>
      <c r="D41" s="311"/>
      <c r="E41" s="307"/>
      <c r="F41" s="308"/>
      <c r="G41" s="312"/>
    </row>
    <row r="42" spans="1:7" s="9" customFormat="1" ht="7.05" customHeight="1" x14ac:dyDescent="0.25">
      <c r="A42" s="313"/>
      <c r="B42" s="314"/>
      <c r="C42" s="314"/>
      <c r="D42" s="314"/>
      <c r="E42" s="314"/>
      <c r="F42" s="314"/>
      <c r="G42" s="315"/>
    </row>
    <row r="43" spans="1:7" s="9" customFormat="1" x14ac:dyDescent="0.25">
      <c r="A43" s="289"/>
      <c r="B43" s="290"/>
      <c r="C43" s="291" t="s">
        <v>564</v>
      </c>
      <c r="D43" s="292" t="s">
        <v>8</v>
      </c>
      <c r="E43" s="292" t="s">
        <v>565</v>
      </c>
      <c r="F43" s="293" t="s">
        <v>566</v>
      </c>
      <c r="G43" s="294" t="s">
        <v>567</v>
      </c>
    </row>
    <row r="44" spans="1:7" s="9" customFormat="1" ht="22.8" customHeight="1" x14ac:dyDescent="0.25">
      <c r="A44" s="295"/>
      <c r="B44" s="296" t="s">
        <v>840</v>
      </c>
      <c r="C44" s="297" t="s">
        <v>841</v>
      </c>
      <c r="D44" s="298" t="s">
        <v>26</v>
      </c>
      <c r="E44" s="339">
        <v>44470</v>
      </c>
      <c r="F44" s="299" t="s">
        <v>569</v>
      </c>
      <c r="G44" s="300">
        <f>SUM(G46:G47)</f>
        <v>17</v>
      </c>
    </row>
    <row r="45" spans="1:7" s="9" customFormat="1" x14ac:dyDescent="0.25">
      <c r="A45" s="301"/>
      <c r="B45" s="302" t="s">
        <v>6</v>
      </c>
      <c r="C45" s="301" t="s">
        <v>570</v>
      </c>
      <c r="D45" s="303" t="s">
        <v>8</v>
      </c>
      <c r="E45" s="303" t="s">
        <v>571</v>
      </c>
      <c r="F45" s="303" t="s">
        <v>572</v>
      </c>
      <c r="G45" s="303" t="s">
        <v>573</v>
      </c>
    </row>
    <row r="46" spans="1:7" s="9" customFormat="1" x14ac:dyDescent="0.25">
      <c r="A46" s="304" t="s">
        <v>569</v>
      </c>
      <c r="B46" s="342" t="s">
        <v>839</v>
      </c>
      <c r="C46" s="343" t="s">
        <v>838</v>
      </c>
      <c r="D46" s="344" t="s">
        <v>26</v>
      </c>
      <c r="E46" s="307">
        <v>1</v>
      </c>
      <c r="F46" s="308">
        <v>13.27</v>
      </c>
      <c r="G46" s="309">
        <f>E46*F46</f>
        <v>13.27</v>
      </c>
    </row>
    <row r="47" spans="1:7" s="9" customFormat="1" x14ac:dyDescent="0.25">
      <c r="A47" s="304" t="s">
        <v>569</v>
      </c>
      <c r="B47" s="342" t="s">
        <v>806</v>
      </c>
      <c r="C47" s="343" t="s">
        <v>597</v>
      </c>
      <c r="D47" s="342" t="s">
        <v>578</v>
      </c>
      <c r="E47" s="307">
        <v>0.25</v>
      </c>
      <c r="F47" s="308">
        <v>14.92</v>
      </c>
      <c r="G47" s="309">
        <f>E47*F47</f>
        <v>3.73</v>
      </c>
    </row>
    <row r="48" spans="1:7" s="9" customFormat="1" x14ac:dyDescent="0.25">
      <c r="A48" s="305"/>
      <c r="B48" s="305"/>
      <c r="C48" s="310"/>
      <c r="D48" s="311"/>
      <c r="E48" s="307"/>
      <c r="F48" s="308"/>
      <c r="G48" s="312"/>
    </row>
    <row r="49" spans="1:7" s="9" customFormat="1" x14ac:dyDescent="0.25">
      <c r="A49" s="313"/>
      <c r="B49" s="314"/>
      <c r="C49" s="314"/>
      <c r="D49" s="314"/>
      <c r="E49" s="314"/>
      <c r="F49" s="314"/>
      <c r="G49" s="315"/>
    </row>
  </sheetData>
  <mergeCells count="1">
    <mergeCell ref="B1:G1"/>
  </mergeCells>
  <pageMargins left="0.511811024" right="0.511811024" top="0.78740157499999996" bottom="0.78740157499999996" header="0.31496062000000002" footer="0.31496062000000002"/>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81"/>
  <sheetViews>
    <sheetView view="pageBreakPreview" topLeftCell="A229" zoomScale="85" zoomScaleNormal="100" zoomScaleSheetLayoutView="85" workbookViewId="0">
      <selection activeCell="C352" sqref="C352"/>
    </sheetView>
  </sheetViews>
  <sheetFormatPr defaultColWidth="9.109375" defaultRowHeight="14.4" x14ac:dyDescent="0.3"/>
  <cols>
    <col min="1" max="6" width="18.6640625" style="80" customWidth="1"/>
    <col min="7" max="7" width="22.21875" style="80" customWidth="1"/>
    <col min="8" max="8" width="22.5546875" style="80" customWidth="1"/>
    <col min="9" max="9" width="20.109375" style="80" customWidth="1"/>
    <col min="10" max="10" width="20.33203125" style="80" customWidth="1"/>
    <col min="11" max="11" width="19.77734375" style="80" customWidth="1"/>
    <col min="12" max="12" width="12.44140625" style="80" customWidth="1"/>
    <col min="13" max="13" width="16.88671875" style="80" customWidth="1"/>
    <col min="14" max="14" width="17.6640625" style="80" customWidth="1"/>
    <col min="15" max="15" width="13.109375" style="80" customWidth="1"/>
    <col min="16" max="16" width="14.6640625" style="80" customWidth="1"/>
    <col min="17" max="256" width="9.109375" style="80"/>
    <col min="257" max="265" width="18.6640625" style="80" customWidth="1"/>
    <col min="266" max="266" width="30.44140625" style="80" customWidth="1"/>
    <col min="267" max="267" width="18.6640625" style="80" customWidth="1"/>
    <col min="268" max="268" width="27" style="80" customWidth="1"/>
    <col min="269" max="269" width="19.6640625" style="80" customWidth="1"/>
    <col min="270" max="270" width="17.6640625" style="80" customWidth="1"/>
    <col min="271" max="271" width="13.109375" style="80" customWidth="1"/>
    <col min="272" max="272" width="14.6640625" style="80" customWidth="1"/>
    <col min="273" max="512" width="9.109375" style="80"/>
    <col min="513" max="521" width="18.6640625" style="80" customWidth="1"/>
    <col min="522" max="522" width="30.44140625" style="80" customWidth="1"/>
    <col min="523" max="523" width="18.6640625" style="80" customWidth="1"/>
    <col min="524" max="524" width="27" style="80" customWidth="1"/>
    <col min="525" max="525" width="19.6640625" style="80" customWidth="1"/>
    <col min="526" max="526" width="17.6640625" style="80" customWidth="1"/>
    <col min="527" max="527" width="13.109375" style="80" customWidth="1"/>
    <col min="528" max="528" width="14.6640625" style="80" customWidth="1"/>
    <col min="529" max="768" width="9.109375" style="80"/>
    <col min="769" max="777" width="18.6640625" style="80" customWidth="1"/>
    <col min="778" max="778" width="30.44140625" style="80" customWidth="1"/>
    <col min="779" max="779" width="18.6640625" style="80" customWidth="1"/>
    <col min="780" max="780" width="27" style="80" customWidth="1"/>
    <col min="781" max="781" width="19.6640625" style="80" customWidth="1"/>
    <col min="782" max="782" width="17.6640625" style="80" customWidth="1"/>
    <col min="783" max="783" width="13.109375" style="80" customWidth="1"/>
    <col min="784" max="784" width="14.6640625" style="80" customWidth="1"/>
    <col min="785" max="1024" width="9.109375" style="80"/>
    <col min="1025" max="1033" width="18.6640625" style="80" customWidth="1"/>
    <col min="1034" max="1034" width="30.44140625" style="80" customWidth="1"/>
    <col min="1035" max="1035" width="18.6640625" style="80" customWidth="1"/>
    <col min="1036" max="1036" width="27" style="80" customWidth="1"/>
    <col min="1037" max="1037" width="19.6640625" style="80" customWidth="1"/>
    <col min="1038" max="1038" width="17.6640625" style="80" customWidth="1"/>
    <col min="1039" max="1039" width="13.109375" style="80" customWidth="1"/>
    <col min="1040" max="1040" width="14.6640625" style="80" customWidth="1"/>
    <col min="1041" max="1280" width="9.109375" style="80"/>
    <col min="1281" max="1289" width="18.6640625" style="80" customWidth="1"/>
    <col min="1290" max="1290" width="30.44140625" style="80" customWidth="1"/>
    <col min="1291" max="1291" width="18.6640625" style="80" customWidth="1"/>
    <col min="1292" max="1292" width="27" style="80" customWidth="1"/>
    <col min="1293" max="1293" width="19.6640625" style="80" customWidth="1"/>
    <col min="1294" max="1294" width="17.6640625" style="80" customWidth="1"/>
    <col min="1295" max="1295" width="13.109375" style="80" customWidth="1"/>
    <col min="1296" max="1296" width="14.6640625" style="80" customWidth="1"/>
    <col min="1297" max="1536" width="9.109375" style="80"/>
    <col min="1537" max="1545" width="18.6640625" style="80" customWidth="1"/>
    <col min="1546" max="1546" width="30.44140625" style="80" customWidth="1"/>
    <col min="1547" max="1547" width="18.6640625" style="80" customWidth="1"/>
    <col min="1548" max="1548" width="27" style="80" customWidth="1"/>
    <col min="1549" max="1549" width="19.6640625" style="80" customWidth="1"/>
    <col min="1550" max="1550" width="17.6640625" style="80" customWidth="1"/>
    <col min="1551" max="1551" width="13.109375" style="80" customWidth="1"/>
    <col min="1552" max="1552" width="14.6640625" style="80" customWidth="1"/>
    <col min="1553" max="1792" width="9.109375" style="80"/>
    <col min="1793" max="1801" width="18.6640625" style="80" customWidth="1"/>
    <col min="1802" max="1802" width="30.44140625" style="80" customWidth="1"/>
    <col min="1803" max="1803" width="18.6640625" style="80" customWidth="1"/>
    <col min="1804" max="1804" width="27" style="80" customWidth="1"/>
    <col min="1805" max="1805" width="19.6640625" style="80" customWidth="1"/>
    <col min="1806" max="1806" width="17.6640625" style="80" customWidth="1"/>
    <col min="1807" max="1807" width="13.109375" style="80" customWidth="1"/>
    <col min="1808" max="1808" width="14.6640625" style="80" customWidth="1"/>
    <col min="1809" max="2048" width="9.109375" style="80"/>
    <col min="2049" max="2057" width="18.6640625" style="80" customWidth="1"/>
    <col min="2058" max="2058" width="30.44140625" style="80" customWidth="1"/>
    <col min="2059" max="2059" width="18.6640625" style="80" customWidth="1"/>
    <col min="2060" max="2060" width="27" style="80" customWidth="1"/>
    <col min="2061" max="2061" width="19.6640625" style="80" customWidth="1"/>
    <col min="2062" max="2062" width="17.6640625" style="80" customWidth="1"/>
    <col min="2063" max="2063" width="13.109375" style="80" customWidth="1"/>
    <col min="2064" max="2064" width="14.6640625" style="80" customWidth="1"/>
    <col min="2065" max="2304" width="9.109375" style="80"/>
    <col min="2305" max="2313" width="18.6640625" style="80" customWidth="1"/>
    <col min="2314" max="2314" width="30.44140625" style="80" customWidth="1"/>
    <col min="2315" max="2315" width="18.6640625" style="80" customWidth="1"/>
    <col min="2316" max="2316" width="27" style="80" customWidth="1"/>
    <col min="2317" max="2317" width="19.6640625" style="80" customWidth="1"/>
    <col min="2318" max="2318" width="17.6640625" style="80" customWidth="1"/>
    <col min="2319" max="2319" width="13.109375" style="80" customWidth="1"/>
    <col min="2320" max="2320" width="14.6640625" style="80" customWidth="1"/>
    <col min="2321" max="2560" width="9.109375" style="80"/>
    <col min="2561" max="2569" width="18.6640625" style="80" customWidth="1"/>
    <col min="2570" max="2570" width="30.44140625" style="80" customWidth="1"/>
    <col min="2571" max="2571" width="18.6640625" style="80" customWidth="1"/>
    <col min="2572" max="2572" width="27" style="80" customWidth="1"/>
    <col min="2573" max="2573" width="19.6640625" style="80" customWidth="1"/>
    <col min="2574" max="2574" width="17.6640625" style="80" customWidth="1"/>
    <col min="2575" max="2575" width="13.109375" style="80" customWidth="1"/>
    <col min="2576" max="2576" width="14.6640625" style="80" customWidth="1"/>
    <col min="2577" max="2816" width="9.109375" style="80"/>
    <col min="2817" max="2825" width="18.6640625" style="80" customWidth="1"/>
    <col min="2826" max="2826" width="30.44140625" style="80" customWidth="1"/>
    <col min="2827" max="2827" width="18.6640625" style="80" customWidth="1"/>
    <col min="2828" max="2828" width="27" style="80" customWidth="1"/>
    <col min="2829" max="2829" width="19.6640625" style="80" customWidth="1"/>
    <col min="2830" max="2830" width="17.6640625" style="80" customWidth="1"/>
    <col min="2831" max="2831" width="13.109375" style="80" customWidth="1"/>
    <col min="2832" max="2832" width="14.6640625" style="80" customWidth="1"/>
    <col min="2833" max="3072" width="9.109375" style="80"/>
    <col min="3073" max="3081" width="18.6640625" style="80" customWidth="1"/>
    <col min="3082" max="3082" width="30.44140625" style="80" customWidth="1"/>
    <col min="3083" max="3083" width="18.6640625" style="80" customWidth="1"/>
    <col min="3084" max="3084" width="27" style="80" customWidth="1"/>
    <col min="3085" max="3085" width="19.6640625" style="80" customWidth="1"/>
    <col min="3086" max="3086" width="17.6640625" style="80" customWidth="1"/>
    <col min="3087" max="3087" width="13.109375" style="80" customWidth="1"/>
    <col min="3088" max="3088" width="14.6640625" style="80" customWidth="1"/>
    <col min="3089" max="3328" width="9.109375" style="80"/>
    <col min="3329" max="3337" width="18.6640625" style="80" customWidth="1"/>
    <col min="3338" max="3338" width="30.44140625" style="80" customWidth="1"/>
    <col min="3339" max="3339" width="18.6640625" style="80" customWidth="1"/>
    <col min="3340" max="3340" width="27" style="80" customWidth="1"/>
    <col min="3341" max="3341" width="19.6640625" style="80" customWidth="1"/>
    <col min="3342" max="3342" width="17.6640625" style="80" customWidth="1"/>
    <col min="3343" max="3343" width="13.109375" style="80" customWidth="1"/>
    <col min="3344" max="3344" width="14.6640625" style="80" customWidth="1"/>
    <col min="3345" max="3584" width="9.109375" style="80"/>
    <col min="3585" max="3593" width="18.6640625" style="80" customWidth="1"/>
    <col min="3594" max="3594" width="30.44140625" style="80" customWidth="1"/>
    <col min="3595" max="3595" width="18.6640625" style="80" customWidth="1"/>
    <col min="3596" max="3596" width="27" style="80" customWidth="1"/>
    <col min="3597" max="3597" width="19.6640625" style="80" customWidth="1"/>
    <col min="3598" max="3598" width="17.6640625" style="80" customWidth="1"/>
    <col min="3599" max="3599" width="13.109375" style="80" customWidth="1"/>
    <col min="3600" max="3600" width="14.6640625" style="80" customWidth="1"/>
    <col min="3601" max="3840" width="9.109375" style="80"/>
    <col min="3841" max="3849" width="18.6640625" style="80" customWidth="1"/>
    <col min="3850" max="3850" width="30.44140625" style="80" customWidth="1"/>
    <col min="3851" max="3851" width="18.6640625" style="80" customWidth="1"/>
    <col min="3852" max="3852" width="27" style="80" customWidth="1"/>
    <col min="3853" max="3853" width="19.6640625" style="80" customWidth="1"/>
    <col min="3854" max="3854" width="17.6640625" style="80" customWidth="1"/>
    <col min="3855" max="3855" width="13.109375" style="80" customWidth="1"/>
    <col min="3856" max="3856" width="14.6640625" style="80" customWidth="1"/>
    <col min="3857" max="4096" width="9.109375" style="80"/>
    <col min="4097" max="4105" width="18.6640625" style="80" customWidth="1"/>
    <col min="4106" max="4106" width="30.44140625" style="80" customWidth="1"/>
    <col min="4107" max="4107" width="18.6640625" style="80" customWidth="1"/>
    <col min="4108" max="4108" width="27" style="80" customWidth="1"/>
    <col min="4109" max="4109" width="19.6640625" style="80" customWidth="1"/>
    <col min="4110" max="4110" width="17.6640625" style="80" customWidth="1"/>
    <col min="4111" max="4111" width="13.109375" style="80" customWidth="1"/>
    <col min="4112" max="4112" width="14.6640625" style="80" customWidth="1"/>
    <col min="4113" max="4352" width="9.109375" style="80"/>
    <col min="4353" max="4361" width="18.6640625" style="80" customWidth="1"/>
    <col min="4362" max="4362" width="30.44140625" style="80" customWidth="1"/>
    <col min="4363" max="4363" width="18.6640625" style="80" customWidth="1"/>
    <col min="4364" max="4364" width="27" style="80" customWidth="1"/>
    <col min="4365" max="4365" width="19.6640625" style="80" customWidth="1"/>
    <col min="4366" max="4366" width="17.6640625" style="80" customWidth="1"/>
    <col min="4367" max="4367" width="13.109375" style="80" customWidth="1"/>
    <col min="4368" max="4368" width="14.6640625" style="80" customWidth="1"/>
    <col min="4369" max="4608" width="9.109375" style="80"/>
    <col min="4609" max="4617" width="18.6640625" style="80" customWidth="1"/>
    <col min="4618" max="4618" width="30.44140625" style="80" customWidth="1"/>
    <col min="4619" max="4619" width="18.6640625" style="80" customWidth="1"/>
    <col min="4620" max="4620" width="27" style="80" customWidth="1"/>
    <col min="4621" max="4621" width="19.6640625" style="80" customWidth="1"/>
    <col min="4622" max="4622" width="17.6640625" style="80" customWidth="1"/>
    <col min="4623" max="4623" width="13.109375" style="80" customWidth="1"/>
    <col min="4624" max="4624" width="14.6640625" style="80" customWidth="1"/>
    <col min="4625" max="4864" width="9.109375" style="80"/>
    <col min="4865" max="4873" width="18.6640625" style="80" customWidth="1"/>
    <col min="4874" max="4874" width="30.44140625" style="80" customWidth="1"/>
    <col min="4875" max="4875" width="18.6640625" style="80" customWidth="1"/>
    <col min="4876" max="4876" width="27" style="80" customWidth="1"/>
    <col min="4877" max="4877" width="19.6640625" style="80" customWidth="1"/>
    <col min="4878" max="4878" width="17.6640625" style="80" customWidth="1"/>
    <col min="4879" max="4879" width="13.109375" style="80" customWidth="1"/>
    <col min="4880" max="4880" width="14.6640625" style="80" customWidth="1"/>
    <col min="4881" max="5120" width="9.109375" style="80"/>
    <col min="5121" max="5129" width="18.6640625" style="80" customWidth="1"/>
    <col min="5130" max="5130" width="30.44140625" style="80" customWidth="1"/>
    <col min="5131" max="5131" width="18.6640625" style="80" customWidth="1"/>
    <col min="5132" max="5132" width="27" style="80" customWidth="1"/>
    <col min="5133" max="5133" width="19.6640625" style="80" customWidth="1"/>
    <col min="5134" max="5134" width="17.6640625" style="80" customWidth="1"/>
    <col min="5135" max="5135" width="13.109375" style="80" customWidth="1"/>
    <col min="5136" max="5136" width="14.6640625" style="80" customWidth="1"/>
    <col min="5137" max="5376" width="9.109375" style="80"/>
    <col min="5377" max="5385" width="18.6640625" style="80" customWidth="1"/>
    <col min="5386" max="5386" width="30.44140625" style="80" customWidth="1"/>
    <col min="5387" max="5387" width="18.6640625" style="80" customWidth="1"/>
    <col min="5388" max="5388" width="27" style="80" customWidth="1"/>
    <col min="5389" max="5389" width="19.6640625" style="80" customWidth="1"/>
    <col min="5390" max="5390" width="17.6640625" style="80" customWidth="1"/>
    <col min="5391" max="5391" width="13.109375" style="80" customWidth="1"/>
    <col min="5392" max="5392" width="14.6640625" style="80" customWidth="1"/>
    <col min="5393" max="5632" width="9.109375" style="80"/>
    <col min="5633" max="5641" width="18.6640625" style="80" customWidth="1"/>
    <col min="5642" max="5642" width="30.44140625" style="80" customWidth="1"/>
    <col min="5643" max="5643" width="18.6640625" style="80" customWidth="1"/>
    <col min="5644" max="5644" width="27" style="80" customWidth="1"/>
    <col min="5645" max="5645" width="19.6640625" style="80" customWidth="1"/>
    <col min="5646" max="5646" width="17.6640625" style="80" customWidth="1"/>
    <col min="5647" max="5647" width="13.109375" style="80" customWidth="1"/>
    <col min="5648" max="5648" width="14.6640625" style="80" customWidth="1"/>
    <col min="5649" max="5888" width="9.109375" style="80"/>
    <col min="5889" max="5897" width="18.6640625" style="80" customWidth="1"/>
    <col min="5898" max="5898" width="30.44140625" style="80" customWidth="1"/>
    <col min="5899" max="5899" width="18.6640625" style="80" customWidth="1"/>
    <col min="5900" max="5900" width="27" style="80" customWidth="1"/>
    <col min="5901" max="5901" width="19.6640625" style="80" customWidth="1"/>
    <col min="5902" max="5902" width="17.6640625" style="80" customWidth="1"/>
    <col min="5903" max="5903" width="13.109375" style="80" customWidth="1"/>
    <col min="5904" max="5904" width="14.6640625" style="80" customWidth="1"/>
    <col min="5905" max="6144" width="9.109375" style="80"/>
    <col min="6145" max="6153" width="18.6640625" style="80" customWidth="1"/>
    <col min="6154" max="6154" width="30.44140625" style="80" customWidth="1"/>
    <col min="6155" max="6155" width="18.6640625" style="80" customWidth="1"/>
    <col min="6156" max="6156" width="27" style="80" customWidth="1"/>
    <col min="6157" max="6157" width="19.6640625" style="80" customWidth="1"/>
    <col min="6158" max="6158" width="17.6640625" style="80" customWidth="1"/>
    <col min="6159" max="6159" width="13.109375" style="80" customWidth="1"/>
    <col min="6160" max="6160" width="14.6640625" style="80" customWidth="1"/>
    <col min="6161" max="6400" width="9.109375" style="80"/>
    <col min="6401" max="6409" width="18.6640625" style="80" customWidth="1"/>
    <col min="6410" max="6410" width="30.44140625" style="80" customWidth="1"/>
    <col min="6411" max="6411" width="18.6640625" style="80" customWidth="1"/>
    <col min="6412" max="6412" width="27" style="80" customWidth="1"/>
    <col min="6413" max="6413" width="19.6640625" style="80" customWidth="1"/>
    <col min="6414" max="6414" width="17.6640625" style="80" customWidth="1"/>
    <col min="6415" max="6415" width="13.109375" style="80" customWidth="1"/>
    <col min="6416" max="6416" width="14.6640625" style="80" customWidth="1"/>
    <col min="6417" max="6656" width="9.109375" style="80"/>
    <col min="6657" max="6665" width="18.6640625" style="80" customWidth="1"/>
    <col min="6666" max="6666" width="30.44140625" style="80" customWidth="1"/>
    <col min="6667" max="6667" width="18.6640625" style="80" customWidth="1"/>
    <col min="6668" max="6668" width="27" style="80" customWidth="1"/>
    <col min="6669" max="6669" width="19.6640625" style="80" customWidth="1"/>
    <col min="6670" max="6670" width="17.6640625" style="80" customWidth="1"/>
    <col min="6671" max="6671" width="13.109375" style="80" customWidth="1"/>
    <col min="6672" max="6672" width="14.6640625" style="80" customWidth="1"/>
    <col min="6673" max="6912" width="9.109375" style="80"/>
    <col min="6913" max="6921" width="18.6640625" style="80" customWidth="1"/>
    <col min="6922" max="6922" width="30.44140625" style="80" customWidth="1"/>
    <col min="6923" max="6923" width="18.6640625" style="80" customWidth="1"/>
    <col min="6924" max="6924" width="27" style="80" customWidth="1"/>
    <col min="6925" max="6925" width="19.6640625" style="80" customWidth="1"/>
    <col min="6926" max="6926" width="17.6640625" style="80" customWidth="1"/>
    <col min="6927" max="6927" width="13.109375" style="80" customWidth="1"/>
    <col min="6928" max="6928" width="14.6640625" style="80" customWidth="1"/>
    <col min="6929" max="7168" width="9.109375" style="80"/>
    <col min="7169" max="7177" width="18.6640625" style="80" customWidth="1"/>
    <col min="7178" max="7178" width="30.44140625" style="80" customWidth="1"/>
    <col min="7179" max="7179" width="18.6640625" style="80" customWidth="1"/>
    <col min="7180" max="7180" width="27" style="80" customWidth="1"/>
    <col min="7181" max="7181" width="19.6640625" style="80" customWidth="1"/>
    <col min="7182" max="7182" width="17.6640625" style="80" customWidth="1"/>
    <col min="7183" max="7183" width="13.109375" style="80" customWidth="1"/>
    <col min="7184" max="7184" width="14.6640625" style="80" customWidth="1"/>
    <col min="7185" max="7424" width="9.109375" style="80"/>
    <col min="7425" max="7433" width="18.6640625" style="80" customWidth="1"/>
    <col min="7434" max="7434" width="30.44140625" style="80" customWidth="1"/>
    <col min="7435" max="7435" width="18.6640625" style="80" customWidth="1"/>
    <col min="7436" max="7436" width="27" style="80" customWidth="1"/>
    <col min="7437" max="7437" width="19.6640625" style="80" customWidth="1"/>
    <col min="7438" max="7438" width="17.6640625" style="80" customWidth="1"/>
    <col min="7439" max="7439" width="13.109375" style="80" customWidth="1"/>
    <col min="7440" max="7440" width="14.6640625" style="80" customWidth="1"/>
    <col min="7441" max="7680" width="9.109375" style="80"/>
    <col min="7681" max="7689" width="18.6640625" style="80" customWidth="1"/>
    <col min="7690" max="7690" width="30.44140625" style="80" customWidth="1"/>
    <col min="7691" max="7691" width="18.6640625" style="80" customWidth="1"/>
    <col min="7692" max="7692" width="27" style="80" customWidth="1"/>
    <col min="7693" max="7693" width="19.6640625" style="80" customWidth="1"/>
    <col min="7694" max="7694" width="17.6640625" style="80" customWidth="1"/>
    <col min="7695" max="7695" width="13.109375" style="80" customWidth="1"/>
    <col min="7696" max="7696" width="14.6640625" style="80" customWidth="1"/>
    <col min="7697" max="7936" width="9.109375" style="80"/>
    <col min="7937" max="7945" width="18.6640625" style="80" customWidth="1"/>
    <col min="7946" max="7946" width="30.44140625" style="80" customWidth="1"/>
    <col min="7947" max="7947" width="18.6640625" style="80" customWidth="1"/>
    <col min="7948" max="7948" width="27" style="80" customWidth="1"/>
    <col min="7949" max="7949" width="19.6640625" style="80" customWidth="1"/>
    <col min="7950" max="7950" width="17.6640625" style="80" customWidth="1"/>
    <col min="7951" max="7951" width="13.109375" style="80" customWidth="1"/>
    <col min="7952" max="7952" width="14.6640625" style="80" customWidth="1"/>
    <col min="7953" max="8192" width="9.109375" style="80"/>
    <col min="8193" max="8201" width="18.6640625" style="80" customWidth="1"/>
    <col min="8202" max="8202" width="30.44140625" style="80" customWidth="1"/>
    <col min="8203" max="8203" width="18.6640625" style="80" customWidth="1"/>
    <col min="8204" max="8204" width="27" style="80" customWidth="1"/>
    <col min="8205" max="8205" width="19.6640625" style="80" customWidth="1"/>
    <col min="8206" max="8206" width="17.6640625" style="80" customWidth="1"/>
    <col min="8207" max="8207" width="13.109375" style="80" customWidth="1"/>
    <col min="8208" max="8208" width="14.6640625" style="80" customWidth="1"/>
    <col min="8209" max="8448" width="9.109375" style="80"/>
    <col min="8449" max="8457" width="18.6640625" style="80" customWidth="1"/>
    <col min="8458" max="8458" width="30.44140625" style="80" customWidth="1"/>
    <col min="8459" max="8459" width="18.6640625" style="80" customWidth="1"/>
    <col min="8460" max="8460" width="27" style="80" customWidth="1"/>
    <col min="8461" max="8461" width="19.6640625" style="80" customWidth="1"/>
    <col min="8462" max="8462" width="17.6640625" style="80" customWidth="1"/>
    <col min="8463" max="8463" width="13.109375" style="80" customWidth="1"/>
    <col min="8464" max="8464" width="14.6640625" style="80" customWidth="1"/>
    <col min="8465" max="8704" width="9.109375" style="80"/>
    <col min="8705" max="8713" width="18.6640625" style="80" customWidth="1"/>
    <col min="8714" max="8714" width="30.44140625" style="80" customWidth="1"/>
    <col min="8715" max="8715" width="18.6640625" style="80" customWidth="1"/>
    <col min="8716" max="8716" width="27" style="80" customWidth="1"/>
    <col min="8717" max="8717" width="19.6640625" style="80" customWidth="1"/>
    <col min="8718" max="8718" width="17.6640625" style="80" customWidth="1"/>
    <col min="8719" max="8719" width="13.109375" style="80" customWidth="1"/>
    <col min="8720" max="8720" width="14.6640625" style="80" customWidth="1"/>
    <col min="8721" max="8960" width="9.109375" style="80"/>
    <col min="8961" max="8969" width="18.6640625" style="80" customWidth="1"/>
    <col min="8970" max="8970" width="30.44140625" style="80" customWidth="1"/>
    <col min="8971" max="8971" width="18.6640625" style="80" customWidth="1"/>
    <col min="8972" max="8972" width="27" style="80" customWidth="1"/>
    <col min="8973" max="8973" width="19.6640625" style="80" customWidth="1"/>
    <col min="8974" max="8974" width="17.6640625" style="80" customWidth="1"/>
    <col min="8975" max="8975" width="13.109375" style="80" customWidth="1"/>
    <col min="8976" max="8976" width="14.6640625" style="80" customWidth="1"/>
    <col min="8977" max="9216" width="9.109375" style="80"/>
    <col min="9217" max="9225" width="18.6640625" style="80" customWidth="1"/>
    <col min="9226" max="9226" width="30.44140625" style="80" customWidth="1"/>
    <col min="9227" max="9227" width="18.6640625" style="80" customWidth="1"/>
    <col min="9228" max="9228" width="27" style="80" customWidth="1"/>
    <col min="9229" max="9229" width="19.6640625" style="80" customWidth="1"/>
    <col min="9230" max="9230" width="17.6640625" style="80" customWidth="1"/>
    <col min="9231" max="9231" width="13.109375" style="80" customWidth="1"/>
    <col min="9232" max="9232" width="14.6640625" style="80" customWidth="1"/>
    <col min="9233" max="9472" width="9.109375" style="80"/>
    <col min="9473" max="9481" width="18.6640625" style="80" customWidth="1"/>
    <col min="9482" max="9482" width="30.44140625" style="80" customWidth="1"/>
    <col min="9483" max="9483" width="18.6640625" style="80" customWidth="1"/>
    <col min="9484" max="9484" width="27" style="80" customWidth="1"/>
    <col min="9485" max="9485" width="19.6640625" style="80" customWidth="1"/>
    <col min="9486" max="9486" width="17.6640625" style="80" customWidth="1"/>
    <col min="9487" max="9487" width="13.109375" style="80" customWidth="1"/>
    <col min="9488" max="9488" width="14.6640625" style="80" customWidth="1"/>
    <col min="9489" max="9728" width="9.109375" style="80"/>
    <col min="9729" max="9737" width="18.6640625" style="80" customWidth="1"/>
    <col min="9738" max="9738" width="30.44140625" style="80" customWidth="1"/>
    <col min="9739" max="9739" width="18.6640625" style="80" customWidth="1"/>
    <col min="9740" max="9740" width="27" style="80" customWidth="1"/>
    <col min="9741" max="9741" width="19.6640625" style="80" customWidth="1"/>
    <col min="9742" max="9742" width="17.6640625" style="80" customWidth="1"/>
    <col min="9743" max="9743" width="13.109375" style="80" customWidth="1"/>
    <col min="9744" max="9744" width="14.6640625" style="80" customWidth="1"/>
    <col min="9745" max="9984" width="9.109375" style="80"/>
    <col min="9985" max="9993" width="18.6640625" style="80" customWidth="1"/>
    <col min="9994" max="9994" width="30.44140625" style="80" customWidth="1"/>
    <col min="9995" max="9995" width="18.6640625" style="80" customWidth="1"/>
    <col min="9996" max="9996" width="27" style="80" customWidth="1"/>
    <col min="9997" max="9997" width="19.6640625" style="80" customWidth="1"/>
    <col min="9998" max="9998" width="17.6640625" style="80" customWidth="1"/>
    <col min="9999" max="9999" width="13.109375" style="80" customWidth="1"/>
    <col min="10000" max="10000" width="14.6640625" style="80" customWidth="1"/>
    <col min="10001" max="10240" width="9.109375" style="80"/>
    <col min="10241" max="10249" width="18.6640625" style="80" customWidth="1"/>
    <col min="10250" max="10250" width="30.44140625" style="80" customWidth="1"/>
    <col min="10251" max="10251" width="18.6640625" style="80" customWidth="1"/>
    <col min="10252" max="10252" width="27" style="80" customWidth="1"/>
    <col min="10253" max="10253" width="19.6640625" style="80" customWidth="1"/>
    <col min="10254" max="10254" width="17.6640625" style="80" customWidth="1"/>
    <col min="10255" max="10255" width="13.109375" style="80" customWidth="1"/>
    <col min="10256" max="10256" width="14.6640625" style="80" customWidth="1"/>
    <col min="10257" max="10496" width="9.109375" style="80"/>
    <col min="10497" max="10505" width="18.6640625" style="80" customWidth="1"/>
    <col min="10506" max="10506" width="30.44140625" style="80" customWidth="1"/>
    <col min="10507" max="10507" width="18.6640625" style="80" customWidth="1"/>
    <col min="10508" max="10508" width="27" style="80" customWidth="1"/>
    <col min="10509" max="10509" width="19.6640625" style="80" customWidth="1"/>
    <col min="10510" max="10510" width="17.6640625" style="80" customWidth="1"/>
    <col min="10511" max="10511" width="13.109375" style="80" customWidth="1"/>
    <col min="10512" max="10512" width="14.6640625" style="80" customWidth="1"/>
    <col min="10513" max="10752" width="9.109375" style="80"/>
    <col min="10753" max="10761" width="18.6640625" style="80" customWidth="1"/>
    <col min="10762" max="10762" width="30.44140625" style="80" customWidth="1"/>
    <col min="10763" max="10763" width="18.6640625" style="80" customWidth="1"/>
    <col min="10764" max="10764" width="27" style="80" customWidth="1"/>
    <col min="10765" max="10765" width="19.6640625" style="80" customWidth="1"/>
    <col min="10766" max="10766" width="17.6640625" style="80" customWidth="1"/>
    <col min="10767" max="10767" width="13.109375" style="80" customWidth="1"/>
    <col min="10768" max="10768" width="14.6640625" style="80" customWidth="1"/>
    <col min="10769" max="11008" width="9.109375" style="80"/>
    <col min="11009" max="11017" width="18.6640625" style="80" customWidth="1"/>
    <col min="11018" max="11018" width="30.44140625" style="80" customWidth="1"/>
    <col min="11019" max="11019" width="18.6640625" style="80" customWidth="1"/>
    <col min="11020" max="11020" width="27" style="80" customWidth="1"/>
    <col min="11021" max="11021" width="19.6640625" style="80" customWidth="1"/>
    <col min="11022" max="11022" width="17.6640625" style="80" customWidth="1"/>
    <col min="11023" max="11023" width="13.109375" style="80" customWidth="1"/>
    <col min="11024" max="11024" width="14.6640625" style="80" customWidth="1"/>
    <col min="11025" max="11264" width="9.109375" style="80"/>
    <col min="11265" max="11273" width="18.6640625" style="80" customWidth="1"/>
    <col min="11274" max="11274" width="30.44140625" style="80" customWidth="1"/>
    <col min="11275" max="11275" width="18.6640625" style="80" customWidth="1"/>
    <col min="11276" max="11276" width="27" style="80" customWidth="1"/>
    <col min="11277" max="11277" width="19.6640625" style="80" customWidth="1"/>
    <col min="11278" max="11278" width="17.6640625" style="80" customWidth="1"/>
    <col min="11279" max="11279" width="13.109375" style="80" customWidth="1"/>
    <col min="11280" max="11280" width="14.6640625" style="80" customWidth="1"/>
    <col min="11281" max="11520" width="9.109375" style="80"/>
    <col min="11521" max="11529" width="18.6640625" style="80" customWidth="1"/>
    <col min="11530" max="11530" width="30.44140625" style="80" customWidth="1"/>
    <col min="11531" max="11531" width="18.6640625" style="80" customWidth="1"/>
    <col min="11532" max="11532" width="27" style="80" customWidth="1"/>
    <col min="11533" max="11533" width="19.6640625" style="80" customWidth="1"/>
    <col min="11534" max="11534" width="17.6640625" style="80" customWidth="1"/>
    <col min="11535" max="11535" width="13.109375" style="80" customWidth="1"/>
    <col min="11536" max="11536" width="14.6640625" style="80" customWidth="1"/>
    <col min="11537" max="11776" width="9.109375" style="80"/>
    <col min="11777" max="11785" width="18.6640625" style="80" customWidth="1"/>
    <col min="11786" max="11786" width="30.44140625" style="80" customWidth="1"/>
    <col min="11787" max="11787" width="18.6640625" style="80" customWidth="1"/>
    <col min="11788" max="11788" width="27" style="80" customWidth="1"/>
    <col min="11789" max="11789" width="19.6640625" style="80" customWidth="1"/>
    <col min="11790" max="11790" width="17.6640625" style="80" customWidth="1"/>
    <col min="11791" max="11791" width="13.109375" style="80" customWidth="1"/>
    <col min="11792" max="11792" width="14.6640625" style="80" customWidth="1"/>
    <col min="11793" max="12032" width="9.109375" style="80"/>
    <col min="12033" max="12041" width="18.6640625" style="80" customWidth="1"/>
    <col min="12042" max="12042" width="30.44140625" style="80" customWidth="1"/>
    <col min="12043" max="12043" width="18.6640625" style="80" customWidth="1"/>
    <col min="12044" max="12044" width="27" style="80" customWidth="1"/>
    <col min="12045" max="12045" width="19.6640625" style="80" customWidth="1"/>
    <col min="12046" max="12046" width="17.6640625" style="80" customWidth="1"/>
    <col min="12047" max="12047" width="13.109375" style="80" customWidth="1"/>
    <col min="12048" max="12048" width="14.6640625" style="80" customWidth="1"/>
    <col min="12049" max="12288" width="9.109375" style="80"/>
    <col min="12289" max="12297" width="18.6640625" style="80" customWidth="1"/>
    <col min="12298" max="12298" width="30.44140625" style="80" customWidth="1"/>
    <col min="12299" max="12299" width="18.6640625" style="80" customWidth="1"/>
    <col min="12300" max="12300" width="27" style="80" customWidth="1"/>
    <col min="12301" max="12301" width="19.6640625" style="80" customWidth="1"/>
    <col min="12302" max="12302" width="17.6640625" style="80" customWidth="1"/>
    <col min="12303" max="12303" width="13.109375" style="80" customWidth="1"/>
    <col min="12304" max="12304" width="14.6640625" style="80" customWidth="1"/>
    <col min="12305" max="12544" width="9.109375" style="80"/>
    <col min="12545" max="12553" width="18.6640625" style="80" customWidth="1"/>
    <col min="12554" max="12554" width="30.44140625" style="80" customWidth="1"/>
    <col min="12555" max="12555" width="18.6640625" style="80" customWidth="1"/>
    <col min="12556" max="12556" width="27" style="80" customWidth="1"/>
    <col min="12557" max="12557" width="19.6640625" style="80" customWidth="1"/>
    <col min="12558" max="12558" width="17.6640625" style="80" customWidth="1"/>
    <col min="12559" max="12559" width="13.109375" style="80" customWidth="1"/>
    <col min="12560" max="12560" width="14.6640625" style="80" customWidth="1"/>
    <col min="12561" max="12800" width="9.109375" style="80"/>
    <col min="12801" max="12809" width="18.6640625" style="80" customWidth="1"/>
    <col min="12810" max="12810" width="30.44140625" style="80" customWidth="1"/>
    <col min="12811" max="12811" width="18.6640625" style="80" customWidth="1"/>
    <col min="12812" max="12812" width="27" style="80" customWidth="1"/>
    <col min="12813" max="12813" width="19.6640625" style="80" customWidth="1"/>
    <col min="12814" max="12814" width="17.6640625" style="80" customWidth="1"/>
    <col min="12815" max="12815" width="13.109375" style="80" customWidth="1"/>
    <col min="12816" max="12816" width="14.6640625" style="80" customWidth="1"/>
    <col min="12817" max="13056" width="9.109375" style="80"/>
    <col min="13057" max="13065" width="18.6640625" style="80" customWidth="1"/>
    <col min="13066" max="13066" width="30.44140625" style="80" customWidth="1"/>
    <col min="13067" max="13067" width="18.6640625" style="80" customWidth="1"/>
    <col min="13068" max="13068" width="27" style="80" customWidth="1"/>
    <col min="13069" max="13069" width="19.6640625" style="80" customWidth="1"/>
    <col min="13070" max="13070" width="17.6640625" style="80" customWidth="1"/>
    <col min="13071" max="13071" width="13.109375" style="80" customWidth="1"/>
    <col min="13072" max="13072" width="14.6640625" style="80" customWidth="1"/>
    <col min="13073" max="13312" width="9.109375" style="80"/>
    <col min="13313" max="13321" width="18.6640625" style="80" customWidth="1"/>
    <col min="13322" max="13322" width="30.44140625" style="80" customWidth="1"/>
    <col min="13323" max="13323" width="18.6640625" style="80" customWidth="1"/>
    <col min="13324" max="13324" width="27" style="80" customWidth="1"/>
    <col min="13325" max="13325" width="19.6640625" style="80" customWidth="1"/>
    <col min="13326" max="13326" width="17.6640625" style="80" customWidth="1"/>
    <col min="13327" max="13327" width="13.109375" style="80" customWidth="1"/>
    <col min="13328" max="13328" width="14.6640625" style="80" customWidth="1"/>
    <col min="13329" max="13568" width="9.109375" style="80"/>
    <col min="13569" max="13577" width="18.6640625" style="80" customWidth="1"/>
    <col min="13578" max="13578" width="30.44140625" style="80" customWidth="1"/>
    <col min="13579" max="13579" width="18.6640625" style="80" customWidth="1"/>
    <col min="13580" max="13580" width="27" style="80" customWidth="1"/>
    <col min="13581" max="13581" width="19.6640625" style="80" customWidth="1"/>
    <col min="13582" max="13582" width="17.6640625" style="80" customWidth="1"/>
    <col min="13583" max="13583" width="13.109375" style="80" customWidth="1"/>
    <col min="13584" max="13584" width="14.6640625" style="80" customWidth="1"/>
    <col min="13585" max="13824" width="9.109375" style="80"/>
    <col min="13825" max="13833" width="18.6640625" style="80" customWidth="1"/>
    <col min="13834" max="13834" width="30.44140625" style="80" customWidth="1"/>
    <col min="13835" max="13835" width="18.6640625" style="80" customWidth="1"/>
    <col min="13836" max="13836" width="27" style="80" customWidth="1"/>
    <col min="13837" max="13837" width="19.6640625" style="80" customWidth="1"/>
    <col min="13838" max="13838" width="17.6640625" style="80" customWidth="1"/>
    <col min="13839" max="13839" width="13.109375" style="80" customWidth="1"/>
    <col min="13840" max="13840" width="14.6640625" style="80" customWidth="1"/>
    <col min="13841" max="14080" width="9.109375" style="80"/>
    <col min="14081" max="14089" width="18.6640625" style="80" customWidth="1"/>
    <col min="14090" max="14090" width="30.44140625" style="80" customWidth="1"/>
    <col min="14091" max="14091" width="18.6640625" style="80" customWidth="1"/>
    <col min="14092" max="14092" width="27" style="80" customWidth="1"/>
    <col min="14093" max="14093" width="19.6640625" style="80" customWidth="1"/>
    <col min="14094" max="14094" width="17.6640625" style="80" customWidth="1"/>
    <col min="14095" max="14095" width="13.109375" style="80" customWidth="1"/>
    <col min="14096" max="14096" width="14.6640625" style="80" customWidth="1"/>
    <col min="14097" max="14336" width="9.109375" style="80"/>
    <col min="14337" max="14345" width="18.6640625" style="80" customWidth="1"/>
    <col min="14346" max="14346" width="30.44140625" style="80" customWidth="1"/>
    <col min="14347" max="14347" width="18.6640625" style="80" customWidth="1"/>
    <col min="14348" max="14348" width="27" style="80" customWidth="1"/>
    <col min="14349" max="14349" width="19.6640625" style="80" customWidth="1"/>
    <col min="14350" max="14350" width="17.6640625" style="80" customWidth="1"/>
    <col min="14351" max="14351" width="13.109375" style="80" customWidth="1"/>
    <col min="14352" max="14352" width="14.6640625" style="80" customWidth="1"/>
    <col min="14353" max="14592" width="9.109375" style="80"/>
    <col min="14593" max="14601" width="18.6640625" style="80" customWidth="1"/>
    <col min="14602" max="14602" width="30.44140625" style="80" customWidth="1"/>
    <col min="14603" max="14603" width="18.6640625" style="80" customWidth="1"/>
    <col min="14604" max="14604" width="27" style="80" customWidth="1"/>
    <col min="14605" max="14605" width="19.6640625" style="80" customWidth="1"/>
    <col min="14606" max="14606" width="17.6640625" style="80" customWidth="1"/>
    <col min="14607" max="14607" width="13.109375" style="80" customWidth="1"/>
    <col min="14608" max="14608" width="14.6640625" style="80" customWidth="1"/>
    <col min="14609" max="14848" width="9.109375" style="80"/>
    <col min="14849" max="14857" width="18.6640625" style="80" customWidth="1"/>
    <col min="14858" max="14858" width="30.44140625" style="80" customWidth="1"/>
    <col min="14859" max="14859" width="18.6640625" style="80" customWidth="1"/>
    <col min="14860" max="14860" width="27" style="80" customWidth="1"/>
    <col min="14861" max="14861" width="19.6640625" style="80" customWidth="1"/>
    <col min="14862" max="14862" width="17.6640625" style="80" customWidth="1"/>
    <col min="14863" max="14863" width="13.109375" style="80" customWidth="1"/>
    <col min="14864" max="14864" width="14.6640625" style="80" customWidth="1"/>
    <col min="14865" max="15104" width="9.109375" style="80"/>
    <col min="15105" max="15113" width="18.6640625" style="80" customWidth="1"/>
    <col min="15114" max="15114" width="30.44140625" style="80" customWidth="1"/>
    <col min="15115" max="15115" width="18.6640625" style="80" customWidth="1"/>
    <col min="15116" max="15116" width="27" style="80" customWidth="1"/>
    <col min="15117" max="15117" width="19.6640625" style="80" customWidth="1"/>
    <col min="15118" max="15118" width="17.6640625" style="80" customWidth="1"/>
    <col min="15119" max="15119" width="13.109375" style="80" customWidth="1"/>
    <col min="15120" max="15120" width="14.6640625" style="80" customWidth="1"/>
    <col min="15121" max="15360" width="9.109375" style="80"/>
    <col min="15361" max="15369" width="18.6640625" style="80" customWidth="1"/>
    <col min="15370" max="15370" width="30.44140625" style="80" customWidth="1"/>
    <col min="15371" max="15371" width="18.6640625" style="80" customWidth="1"/>
    <col min="15372" max="15372" width="27" style="80" customWidth="1"/>
    <col min="15373" max="15373" width="19.6640625" style="80" customWidth="1"/>
    <col min="15374" max="15374" width="17.6640625" style="80" customWidth="1"/>
    <col min="15375" max="15375" width="13.109375" style="80" customWidth="1"/>
    <col min="15376" max="15376" width="14.6640625" style="80" customWidth="1"/>
    <col min="15377" max="15616" width="9.109375" style="80"/>
    <col min="15617" max="15625" width="18.6640625" style="80" customWidth="1"/>
    <col min="15626" max="15626" width="30.44140625" style="80" customWidth="1"/>
    <col min="15627" max="15627" width="18.6640625" style="80" customWidth="1"/>
    <col min="15628" max="15628" width="27" style="80" customWidth="1"/>
    <col min="15629" max="15629" width="19.6640625" style="80" customWidth="1"/>
    <col min="15630" max="15630" width="17.6640625" style="80" customWidth="1"/>
    <col min="15631" max="15631" width="13.109375" style="80" customWidth="1"/>
    <col min="15632" max="15632" width="14.6640625" style="80" customWidth="1"/>
    <col min="15633" max="15872" width="9.109375" style="80"/>
    <col min="15873" max="15881" width="18.6640625" style="80" customWidth="1"/>
    <col min="15882" max="15882" width="30.44140625" style="80" customWidth="1"/>
    <col min="15883" max="15883" width="18.6640625" style="80" customWidth="1"/>
    <col min="15884" max="15884" width="27" style="80" customWidth="1"/>
    <col min="15885" max="15885" width="19.6640625" style="80" customWidth="1"/>
    <col min="15886" max="15886" width="17.6640625" style="80" customWidth="1"/>
    <col min="15887" max="15887" width="13.109375" style="80" customWidth="1"/>
    <col min="15888" max="15888" width="14.6640625" style="80" customWidth="1"/>
    <col min="15889" max="16128" width="9.109375" style="80"/>
    <col min="16129" max="16137" width="18.6640625" style="80" customWidth="1"/>
    <col min="16138" max="16138" width="30.44140625" style="80" customWidth="1"/>
    <col min="16139" max="16139" width="18.6640625" style="80" customWidth="1"/>
    <col min="16140" max="16140" width="27" style="80" customWidth="1"/>
    <col min="16141" max="16141" width="19.6640625" style="80" customWidth="1"/>
    <col min="16142" max="16142" width="17.6640625" style="80" customWidth="1"/>
    <col min="16143" max="16143" width="13.109375" style="80" customWidth="1"/>
    <col min="16144" max="16144" width="14.6640625" style="80" customWidth="1"/>
    <col min="16145" max="16384" width="9.109375" style="80"/>
  </cols>
  <sheetData>
    <row r="1" spans="1:14" ht="18.600000000000001" thickBot="1" x14ac:dyDescent="0.4">
      <c r="A1" s="434" t="s">
        <v>291</v>
      </c>
      <c r="B1" s="435"/>
      <c r="C1" s="435"/>
      <c r="D1" s="435"/>
      <c r="E1" s="435"/>
      <c r="F1" s="435"/>
      <c r="G1" s="435"/>
      <c r="H1" s="435"/>
      <c r="I1" s="435"/>
      <c r="J1" s="435"/>
      <c r="K1" s="436"/>
      <c r="L1" s="82"/>
      <c r="M1" s="82"/>
      <c r="N1" s="82"/>
    </row>
    <row r="2" spans="1:14" x14ac:dyDescent="0.3">
      <c r="A2" s="437" t="str">
        <f>'MEC 01 '!A2:G2</f>
        <v>PROPONENTE: PREFEITURA MUNICIPAL DE CARVALHOS</v>
      </c>
      <c r="B2" s="438"/>
      <c r="C2" s="438"/>
      <c r="D2" s="438"/>
      <c r="E2" s="438"/>
      <c r="F2" s="438"/>
      <c r="G2" s="438"/>
      <c r="H2" s="438"/>
      <c r="I2" s="438"/>
      <c r="J2" s="438"/>
      <c r="K2" s="439"/>
      <c r="L2" s="82"/>
      <c r="M2" s="82"/>
      <c r="N2" s="82"/>
    </row>
    <row r="3" spans="1:14" x14ac:dyDescent="0.3">
      <c r="A3" s="440" t="str">
        <f>'MEC 01 '!A3:G3</f>
        <v>OBJETO: CONSTRUÇÃO DO CENTRO DE FISIOTERAPIA MUNICIPAL</v>
      </c>
      <c r="B3" s="441"/>
      <c r="C3" s="441"/>
      <c r="D3" s="441"/>
      <c r="E3" s="441"/>
      <c r="F3" s="441"/>
      <c r="G3" s="441"/>
      <c r="H3" s="441"/>
      <c r="I3" s="441"/>
      <c r="J3" s="441"/>
      <c r="K3" s="442"/>
      <c r="L3" s="82"/>
      <c r="M3" s="82"/>
      <c r="N3" s="82"/>
    </row>
    <row r="4" spans="1:14" ht="15" thickBot="1" x14ac:dyDescent="0.35">
      <c r="A4" s="443" t="str">
        <f>'MEC 01 '!A4:G4</f>
        <v>LOCAL: PRAÇA IBRAHIM PEREIRA DA CUNHA, S/N° - CENTRO- CARVALHOS - MG</v>
      </c>
      <c r="B4" s="444"/>
      <c r="C4" s="444"/>
      <c r="D4" s="444"/>
      <c r="E4" s="444"/>
      <c r="F4" s="444"/>
      <c r="G4" s="444"/>
      <c r="H4" s="444"/>
      <c r="I4" s="444"/>
      <c r="J4" s="444"/>
      <c r="K4" s="445"/>
      <c r="L4" s="82"/>
      <c r="M4" s="82"/>
      <c r="N4" s="82"/>
    </row>
    <row r="5" spans="1:14" ht="15" thickBot="1" x14ac:dyDescent="0.35">
      <c r="A5" s="84"/>
      <c r="B5" s="85"/>
      <c r="C5" s="86"/>
      <c r="D5" s="86"/>
      <c r="E5" s="86"/>
      <c r="F5" s="86"/>
      <c r="G5" s="87"/>
      <c r="H5" s="83"/>
      <c r="I5" s="83"/>
      <c r="J5" s="82"/>
      <c r="K5" s="82"/>
      <c r="L5" s="82"/>
      <c r="M5" s="82"/>
      <c r="N5" s="82"/>
    </row>
    <row r="6" spans="1:14" s="90" customFormat="1" ht="18" customHeight="1" thickBot="1" x14ac:dyDescent="0.35">
      <c r="A6" s="427" t="s">
        <v>428</v>
      </c>
      <c r="B6" s="428"/>
      <c r="C6" s="428"/>
      <c r="D6" s="428"/>
      <c r="E6" s="428"/>
      <c r="F6" s="428"/>
      <c r="G6" s="428"/>
      <c r="H6" s="428"/>
      <c r="I6" s="428"/>
      <c r="J6" s="428"/>
      <c r="K6" s="429"/>
      <c r="L6" s="89"/>
      <c r="M6" s="89"/>
      <c r="N6" s="89"/>
    </row>
    <row r="7" spans="1:14" s="227" customFormat="1" ht="40.049999999999997" customHeight="1" x14ac:dyDescent="0.3">
      <c r="A7" s="220" t="s">
        <v>7</v>
      </c>
      <c r="B7" s="221" t="s">
        <v>366</v>
      </c>
      <c r="C7" s="222" t="s">
        <v>367</v>
      </c>
      <c r="D7" s="222" t="s">
        <v>368</v>
      </c>
      <c r="E7" s="222" t="s">
        <v>9</v>
      </c>
      <c r="F7" s="223" t="s">
        <v>369</v>
      </c>
      <c r="G7" s="224" t="s">
        <v>370</v>
      </c>
      <c r="H7" s="223" t="s">
        <v>429</v>
      </c>
      <c r="I7" s="224" t="s">
        <v>423</v>
      </c>
      <c r="J7" s="224" t="s">
        <v>424</v>
      </c>
      <c r="K7" s="225" t="s">
        <v>371</v>
      </c>
      <c r="L7" s="226"/>
      <c r="M7" s="226"/>
      <c r="N7" s="226"/>
    </row>
    <row r="8" spans="1:14" s="90" customFormat="1" ht="45" customHeight="1" x14ac:dyDescent="0.3">
      <c r="A8" s="259" t="s">
        <v>372</v>
      </c>
      <c r="B8" s="257">
        <v>0.7</v>
      </c>
      <c r="C8" s="257">
        <v>0.7</v>
      </c>
      <c r="D8" s="257">
        <v>0.4</v>
      </c>
      <c r="E8" s="257">
        <v>15</v>
      </c>
      <c r="F8" s="257">
        <f t="shared" ref="F8:F15" si="0">B8*C8*D8*E8</f>
        <v>2.9399999999999995</v>
      </c>
      <c r="G8" s="214">
        <f>((B8)*(C8)*0.1)*E8</f>
        <v>0.73499999999999988</v>
      </c>
      <c r="H8" s="212">
        <f t="shared" ref="H8:H15" si="1">B8*C8*(D8-0.05)*E8</f>
        <v>2.5724999999999998</v>
      </c>
      <c r="I8" s="446">
        <v>8</v>
      </c>
      <c r="J8" s="258">
        <f>((3*0.89*2)+(4*1.29*1))*0.617*E8*1.1</f>
        <v>106.89525000000002</v>
      </c>
      <c r="K8" s="260">
        <f>(B8*D8*E8*2)+(C8*D8*E8*2)</f>
        <v>16.799999999999997</v>
      </c>
      <c r="L8" s="89"/>
      <c r="M8" s="89"/>
      <c r="N8" s="89"/>
    </row>
    <row r="9" spans="1:14" s="90" customFormat="1" ht="34.950000000000003" customHeight="1" x14ac:dyDescent="0.3">
      <c r="A9" s="259" t="s">
        <v>373</v>
      </c>
      <c r="B9" s="257">
        <v>0.8</v>
      </c>
      <c r="C9" s="257">
        <v>0.8</v>
      </c>
      <c r="D9" s="257">
        <v>0.4</v>
      </c>
      <c r="E9" s="257">
        <v>6</v>
      </c>
      <c r="F9" s="257">
        <f t="shared" si="0"/>
        <v>1.5360000000000005</v>
      </c>
      <c r="G9" s="214">
        <f t="shared" ref="G9:G15" si="2">((B9)*(C9)*0.1)*E9</f>
        <v>0.38400000000000012</v>
      </c>
      <c r="H9" s="212">
        <f t="shared" si="1"/>
        <v>1.3440000000000003</v>
      </c>
      <c r="I9" s="446"/>
      <c r="J9" s="258">
        <f>((3*0.89*2)+(4*1.29*1))*0.617*E9*1.1</f>
        <v>42.758100000000006</v>
      </c>
      <c r="K9" s="260">
        <f t="shared" ref="K9:K15" si="3">(B9*D9*E9*2)+(C9*D9*E9*2)</f>
        <v>7.6800000000000015</v>
      </c>
      <c r="L9" s="89"/>
      <c r="M9" s="89"/>
      <c r="N9" s="89"/>
    </row>
    <row r="10" spans="1:14" s="90" customFormat="1" ht="19.95" customHeight="1" x14ac:dyDescent="0.3">
      <c r="A10" s="259" t="s">
        <v>374</v>
      </c>
      <c r="B10" s="257">
        <v>0.9</v>
      </c>
      <c r="C10" s="257">
        <v>0.9</v>
      </c>
      <c r="D10" s="257">
        <v>0.4</v>
      </c>
      <c r="E10" s="257">
        <v>4</v>
      </c>
      <c r="F10" s="257">
        <f t="shared" si="0"/>
        <v>1.2960000000000003</v>
      </c>
      <c r="G10" s="214">
        <f t="shared" si="2"/>
        <v>0.32400000000000007</v>
      </c>
      <c r="H10" s="212">
        <f t="shared" si="1"/>
        <v>1.1340000000000001</v>
      </c>
      <c r="I10" s="446"/>
      <c r="J10" s="258">
        <f>((4*0.89*2)+(4*1.29*1))*0.617*E10*1.1</f>
        <v>33.337744000000008</v>
      </c>
      <c r="K10" s="260">
        <f t="shared" si="3"/>
        <v>5.7600000000000007</v>
      </c>
      <c r="L10" s="89"/>
      <c r="M10" s="89"/>
      <c r="N10" s="89"/>
    </row>
    <row r="11" spans="1:14" s="90" customFormat="1" ht="19.95" customHeight="1" x14ac:dyDescent="0.3">
      <c r="A11" s="259" t="s">
        <v>375</v>
      </c>
      <c r="B11" s="257">
        <v>0.9</v>
      </c>
      <c r="C11" s="257">
        <v>0.9</v>
      </c>
      <c r="D11" s="257">
        <v>0.4</v>
      </c>
      <c r="E11" s="257">
        <v>1</v>
      </c>
      <c r="F11" s="257">
        <f t="shared" si="0"/>
        <v>0.32400000000000007</v>
      </c>
      <c r="G11" s="214">
        <f t="shared" si="2"/>
        <v>8.1000000000000016E-2</v>
      </c>
      <c r="H11" s="212">
        <f t="shared" si="1"/>
        <v>0.28350000000000003</v>
      </c>
      <c r="I11" s="446"/>
      <c r="J11" s="258">
        <f>((4*0.89*2)+(4*1.29*1))*0.617*E11*1.1</f>
        <v>8.334436000000002</v>
      </c>
      <c r="K11" s="260">
        <f t="shared" si="3"/>
        <v>1.4400000000000002</v>
      </c>
      <c r="L11" s="89"/>
      <c r="M11" s="89"/>
      <c r="N11" s="89"/>
    </row>
    <row r="12" spans="1:14" s="90" customFormat="1" ht="19.95" customHeight="1" x14ac:dyDescent="0.3">
      <c r="A12" s="259" t="s">
        <v>376</v>
      </c>
      <c r="B12" s="257">
        <v>0.8</v>
      </c>
      <c r="C12" s="257">
        <v>0.8</v>
      </c>
      <c r="D12" s="257">
        <v>0.4</v>
      </c>
      <c r="E12" s="257">
        <v>3</v>
      </c>
      <c r="F12" s="257">
        <f t="shared" si="0"/>
        <v>0.76800000000000024</v>
      </c>
      <c r="G12" s="214">
        <f t="shared" si="2"/>
        <v>0.19200000000000006</v>
      </c>
      <c r="H12" s="212">
        <f t="shared" si="1"/>
        <v>0.67200000000000015</v>
      </c>
      <c r="I12" s="446"/>
      <c r="J12" s="258">
        <f>((3*0.89*2)+(4*1.29*1))*0.617*E12*1.1</f>
        <v>21.379050000000003</v>
      </c>
      <c r="K12" s="260">
        <f t="shared" si="3"/>
        <v>3.8400000000000007</v>
      </c>
      <c r="L12" s="89"/>
      <c r="M12" s="89"/>
      <c r="N12" s="89"/>
    </row>
    <row r="13" spans="1:14" s="90" customFormat="1" ht="19.95" customHeight="1" x14ac:dyDescent="0.3">
      <c r="A13" s="259" t="s">
        <v>377</v>
      </c>
      <c r="B13" s="257">
        <v>0.9</v>
      </c>
      <c r="C13" s="257">
        <v>0.9</v>
      </c>
      <c r="D13" s="257">
        <v>0.4</v>
      </c>
      <c r="E13" s="257">
        <v>2</v>
      </c>
      <c r="F13" s="257">
        <f t="shared" si="0"/>
        <v>0.64800000000000013</v>
      </c>
      <c r="G13" s="214">
        <f t="shared" si="2"/>
        <v>0.16200000000000003</v>
      </c>
      <c r="H13" s="212">
        <f t="shared" si="1"/>
        <v>0.56700000000000006</v>
      </c>
      <c r="I13" s="446"/>
      <c r="J13" s="258">
        <f>((4*0.89*2)+(4*1.29*1))*0.617*E13*1.1</f>
        <v>16.668872000000004</v>
      </c>
      <c r="K13" s="260">
        <f t="shared" si="3"/>
        <v>2.8800000000000003</v>
      </c>
      <c r="L13" s="89"/>
      <c r="M13" s="89"/>
      <c r="N13" s="89"/>
    </row>
    <row r="14" spans="1:14" s="90" customFormat="1" ht="19.95" customHeight="1" x14ac:dyDescent="0.3">
      <c r="A14" s="259" t="s">
        <v>378</v>
      </c>
      <c r="B14" s="257">
        <v>1</v>
      </c>
      <c r="C14" s="257">
        <v>1</v>
      </c>
      <c r="D14" s="257">
        <v>0.4</v>
      </c>
      <c r="E14" s="257">
        <v>1</v>
      </c>
      <c r="F14" s="257">
        <f t="shared" si="0"/>
        <v>0.4</v>
      </c>
      <c r="G14" s="214">
        <f t="shared" si="2"/>
        <v>0.1</v>
      </c>
      <c r="H14" s="212">
        <f t="shared" si="1"/>
        <v>0.35000000000000003</v>
      </c>
      <c r="I14" s="446"/>
      <c r="J14" s="258">
        <f>((4*0.89*2)+(4*1.29*1))*0.617*E14*1.1</f>
        <v>8.334436000000002</v>
      </c>
      <c r="K14" s="260">
        <f t="shared" si="3"/>
        <v>1.6</v>
      </c>
      <c r="L14" s="89"/>
      <c r="M14" s="89"/>
      <c r="N14" s="89"/>
    </row>
    <row r="15" spans="1:14" s="90" customFormat="1" ht="19.95" customHeight="1" thickBot="1" x14ac:dyDescent="0.35">
      <c r="A15" s="261" t="s">
        <v>379</v>
      </c>
      <c r="B15" s="262">
        <v>0.8</v>
      </c>
      <c r="C15" s="262">
        <v>0.8</v>
      </c>
      <c r="D15" s="262">
        <v>0.4</v>
      </c>
      <c r="E15" s="262">
        <v>1</v>
      </c>
      <c r="F15" s="262">
        <f t="shared" si="0"/>
        <v>0.25600000000000006</v>
      </c>
      <c r="G15" s="263">
        <f t="shared" si="2"/>
        <v>6.4000000000000015E-2</v>
      </c>
      <c r="H15" s="264">
        <f t="shared" si="1"/>
        <v>0.22400000000000006</v>
      </c>
      <c r="I15" s="447"/>
      <c r="J15" s="265">
        <f>((3*0.89*2)+(4*0.99*1))*0.617*E15*1.1</f>
        <v>6.311910000000001</v>
      </c>
      <c r="K15" s="266">
        <f t="shared" si="3"/>
        <v>1.2800000000000002</v>
      </c>
      <c r="L15" s="89"/>
      <c r="M15" s="89"/>
      <c r="N15" s="89"/>
    </row>
    <row r="16" spans="1:14" s="219" customFormat="1" ht="18" customHeight="1" thickBot="1" x14ac:dyDescent="0.3">
      <c r="A16" s="448" t="s">
        <v>381</v>
      </c>
      <c r="B16" s="449"/>
      <c r="C16" s="449"/>
      <c r="D16" s="449"/>
      <c r="E16" s="449"/>
      <c r="F16" s="267">
        <f t="shared" ref="F16:K16" si="4">SUM(F8:F15)</f>
        <v>8.168000000000001</v>
      </c>
      <c r="G16" s="267">
        <f t="shared" si="4"/>
        <v>2.0420000000000003</v>
      </c>
      <c r="H16" s="267">
        <f t="shared" si="4"/>
        <v>7.1470000000000002</v>
      </c>
      <c r="I16" s="267">
        <f t="shared" si="4"/>
        <v>8</v>
      </c>
      <c r="J16" s="267">
        <f t="shared" si="4"/>
        <v>244.01979800000007</v>
      </c>
      <c r="K16" s="217">
        <f t="shared" si="4"/>
        <v>41.280000000000008</v>
      </c>
      <c r="L16" s="218"/>
      <c r="M16" s="218"/>
      <c r="N16" s="218"/>
    </row>
    <row r="17" spans="1:14" s="90" customFormat="1" ht="15.75" customHeight="1" thickBot="1" x14ac:dyDescent="0.35">
      <c r="A17" s="185"/>
      <c r="B17" s="185"/>
      <c r="C17" s="185"/>
      <c r="D17" s="185"/>
      <c r="E17" s="88"/>
      <c r="F17" s="88"/>
      <c r="G17" s="88"/>
      <c r="H17" s="88"/>
      <c r="I17" s="88"/>
      <c r="J17" s="89"/>
      <c r="K17" s="89"/>
      <c r="L17" s="89"/>
      <c r="M17" s="89"/>
      <c r="N17" s="89"/>
    </row>
    <row r="18" spans="1:14" s="90" customFormat="1" ht="18" customHeight="1" thickBot="1" x14ac:dyDescent="0.35">
      <c r="A18" s="419" t="s">
        <v>380</v>
      </c>
      <c r="B18" s="420"/>
      <c r="C18" s="420"/>
      <c r="D18" s="421"/>
      <c r="E18" s="210"/>
      <c r="F18" s="210"/>
      <c r="G18" s="210"/>
      <c r="H18" s="210"/>
      <c r="I18" s="210"/>
      <c r="J18" s="82"/>
      <c r="K18" s="82"/>
      <c r="L18" s="89"/>
      <c r="M18" s="89"/>
      <c r="N18" s="89"/>
    </row>
    <row r="19" spans="1:14" s="227" customFormat="1" ht="45" customHeight="1" x14ac:dyDescent="0.3">
      <c r="A19" s="220" t="s">
        <v>7</v>
      </c>
      <c r="B19" s="221" t="s">
        <v>366</v>
      </c>
      <c r="C19" s="222" t="s">
        <v>367</v>
      </c>
      <c r="D19" s="222" t="s">
        <v>368</v>
      </c>
      <c r="E19" s="222" t="s">
        <v>9</v>
      </c>
      <c r="F19" s="223" t="s">
        <v>418</v>
      </c>
      <c r="G19" s="223" t="s">
        <v>419</v>
      </c>
      <c r="H19" s="223" t="s">
        <v>370</v>
      </c>
      <c r="I19" s="223" t="s">
        <v>429</v>
      </c>
      <c r="J19" s="224" t="s">
        <v>423</v>
      </c>
      <c r="K19" s="224" t="s">
        <v>424</v>
      </c>
      <c r="L19" s="225" t="s">
        <v>371</v>
      </c>
      <c r="M19" s="226"/>
      <c r="N19" s="226"/>
    </row>
    <row r="20" spans="1:14" s="90" customFormat="1" ht="15.75" customHeight="1" x14ac:dyDescent="0.3">
      <c r="A20" s="211" t="s">
        <v>383</v>
      </c>
      <c r="B20" s="212">
        <v>0.2</v>
      </c>
      <c r="C20" s="212">
        <v>12.23</v>
      </c>
      <c r="D20" s="213">
        <v>0.3</v>
      </c>
      <c r="E20" s="213">
        <v>1</v>
      </c>
      <c r="F20" s="214">
        <f t="shared" ref="F20:F25" si="5">(B20)*(C20)*(D20)*E20</f>
        <v>0.73380000000000001</v>
      </c>
      <c r="G20" s="212">
        <f>((B20)*C20*E20)</f>
        <v>2.4460000000000002</v>
      </c>
      <c r="H20" s="214">
        <f t="shared" ref="H20:H53" si="6">((B20)*(C20)*0.05)*E20</f>
        <v>0.12230000000000002</v>
      </c>
      <c r="I20" s="214">
        <f t="shared" ref="I20:I53" si="7">B20*C20*(D20-0.05)*E20</f>
        <v>0.61150000000000004</v>
      </c>
      <c r="J20" s="432" t="s">
        <v>425</v>
      </c>
      <c r="K20" s="432" t="s">
        <v>426</v>
      </c>
      <c r="L20" s="215">
        <f>C20*E20*D20*2</f>
        <v>7.3380000000000001</v>
      </c>
      <c r="M20" s="89"/>
      <c r="N20" s="89"/>
    </row>
    <row r="21" spans="1:14" s="90" customFormat="1" ht="15.75" customHeight="1" x14ac:dyDescent="0.3">
      <c r="A21" s="211" t="s">
        <v>384</v>
      </c>
      <c r="B21" s="212">
        <v>0.15</v>
      </c>
      <c r="C21" s="212">
        <v>4.91</v>
      </c>
      <c r="D21" s="213">
        <v>0.25</v>
      </c>
      <c r="E21" s="213">
        <v>1</v>
      </c>
      <c r="F21" s="214">
        <f t="shared" si="5"/>
        <v>0.18412500000000001</v>
      </c>
      <c r="G21" s="212">
        <f t="shared" ref="G21:G53" si="8">((B21)*C21*E21)</f>
        <v>0.73650000000000004</v>
      </c>
      <c r="H21" s="214">
        <f t="shared" si="6"/>
        <v>3.6825000000000004E-2</v>
      </c>
      <c r="I21" s="214">
        <f t="shared" si="7"/>
        <v>0.14730000000000001</v>
      </c>
      <c r="J21" s="433"/>
      <c r="K21" s="433"/>
      <c r="L21" s="215">
        <f t="shared" ref="L21:L53" si="9">C21*E21*D21*2</f>
        <v>2.4550000000000001</v>
      </c>
      <c r="M21" s="89"/>
      <c r="N21" s="89"/>
    </row>
    <row r="22" spans="1:14" s="90" customFormat="1" ht="15.75" customHeight="1" x14ac:dyDescent="0.3">
      <c r="A22" s="211" t="s">
        <v>385</v>
      </c>
      <c r="B22" s="212">
        <v>0.15</v>
      </c>
      <c r="C22" s="212">
        <v>4.91</v>
      </c>
      <c r="D22" s="213">
        <v>0.25</v>
      </c>
      <c r="E22" s="213">
        <v>1</v>
      </c>
      <c r="F22" s="214">
        <f t="shared" si="5"/>
        <v>0.18412500000000001</v>
      </c>
      <c r="G22" s="212">
        <f t="shared" si="8"/>
        <v>0.73650000000000004</v>
      </c>
      <c r="H22" s="214">
        <f t="shared" si="6"/>
        <v>3.6825000000000004E-2</v>
      </c>
      <c r="I22" s="214">
        <f t="shared" si="7"/>
        <v>0.14730000000000001</v>
      </c>
      <c r="J22" s="433"/>
      <c r="K22" s="433"/>
      <c r="L22" s="215">
        <f t="shared" si="9"/>
        <v>2.4550000000000001</v>
      </c>
      <c r="M22" s="89"/>
      <c r="N22" s="89"/>
    </row>
    <row r="23" spans="1:14" s="90" customFormat="1" ht="15.75" customHeight="1" x14ac:dyDescent="0.3">
      <c r="A23" s="211" t="s">
        <v>386</v>
      </c>
      <c r="B23" s="212">
        <v>0.2</v>
      </c>
      <c r="C23" s="212">
        <v>1.61</v>
      </c>
      <c r="D23" s="213">
        <v>0.25</v>
      </c>
      <c r="E23" s="213">
        <v>1</v>
      </c>
      <c r="F23" s="214">
        <f t="shared" si="5"/>
        <v>8.0500000000000016E-2</v>
      </c>
      <c r="G23" s="212">
        <f t="shared" si="8"/>
        <v>0.32200000000000006</v>
      </c>
      <c r="H23" s="214">
        <f t="shared" si="6"/>
        <v>1.6100000000000003E-2</v>
      </c>
      <c r="I23" s="214">
        <f t="shared" si="7"/>
        <v>6.4400000000000013E-2</v>
      </c>
      <c r="J23" s="433"/>
      <c r="K23" s="433"/>
      <c r="L23" s="215">
        <f t="shared" si="9"/>
        <v>0.80500000000000005</v>
      </c>
      <c r="M23" s="89"/>
      <c r="N23" s="89"/>
    </row>
    <row r="24" spans="1:14" s="90" customFormat="1" ht="15.75" customHeight="1" x14ac:dyDescent="0.3">
      <c r="A24" s="211" t="s">
        <v>387</v>
      </c>
      <c r="B24" s="212">
        <v>0.15</v>
      </c>
      <c r="C24" s="212">
        <v>1.55</v>
      </c>
      <c r="D24" s="213">
        <v>0.25</v>
      </c>
      <c r="E24" s="213">
        <v>1</v>
      </c>
      <c r="F24" s="214">
        <f t="shared" si="5"/>
        <v>5.8124999999999996E-2</v>
      </c>
      <c r="G24" s="212">
        <f t="shared" si="8"/>
        <v>0.23249999999999998</v>
      </c>
      <c r="H24" s="214">
        <f t="shared" si="6"/>
        <v>1.1625E-2</v>
      </c>
      <c r="I24" s="214">
        <f t="shared" si="7"/>
        <v>4.65E-2</v>
      </c>
      <c r="J24" s="433"/>
      <c r="K24" s="433"/>
      <c r="L24" s="215">
        <f t="shared" si="9"/>
        <v>0.77500000000000002</v>
      </c>
      <c r="M24" s="89"/>
      <c r="N24" s="89"/>
    </row>
    <row r="25" spans="1:14" s="90" customFormat="1" ht="15.75" customHeight="1" x14ac:dyDescent="0.3">
      <c r="A25" s="211" t="s">
        <v>388</v>
      </c>
      <c r="B25" s="212">
        <v>0.15</v>
      </c>
      <c r="C25" s="212">
        <v>4.8899999999999997</v>
      </c>
      <c r="D25" s="213">
        <v>0.25</v>
      </c>
      <c r="E25" s="213">
        <v>1</v>
      </c>
      <c r="F25" s="214">
        <f t="shared" si="5"/>
        <v>0.18337499999999998</v>
      </c>
      <c r="G25" s="212">
        <f t="shared" si="8"/>
        <v>0.73349999999999993</v>
      </c>
      <c r="H25" s="214">
        <f t="shared" si="6"/>
        <v>3.6674999999999999E-2</v>
      </c>
      <c r="I25" s="214">
        <f t="shared" si="7"/>
        <v>0.1467</v>
      </c>
      <c r="J25" s="433"/>
      <c r="K25" s="433"/>
      <c r="L25" s="215">
        <f t="shared" si="9"/>
        <v>2.4449999999999998</v>
      </c>
      <c r="M25" s="89"/>
      <c r="N25" s="89"/>
    </row>
    <row r="26" spans="1:14" s="90" customFormat="1" ht="15.75" customHeight="1" x14ac:dyDescent="0.3">
      <c r="A26" s="211" t="s">
        <v>389</v>
      </c>
      <c r="B26" s="212">
        <v>0.15</v>
      </c>
      <c r="C26" s="212">
        <v>3.8</v>
      </c>
      <c r="D26" s="213">
        <v>0.25</v>
      </c>
      <c r="E26" s="213">
        <v>1</v>
      </c>
      <c r="F26" s="214">
        <f t="shared" ref="F26:F37" si="10">(B26)*(C26)*(D26)*E26</f>
        <v>0.14249999999999999</v>
      </c>
      <c r="G26" s="212">
        <f t="shared" si="8"/>
        <v>0.56999999999999995</v>
      </c>
      <c r="H26" s="214">
        <f t="shared" si="6"/>
        <v>2.8499999999999998E-2</v>
      </c>
      <c r="I26" s="214">
        <f t="shared" si="7"/>
        <v>0.11399999999999999</v>
      </c>
      <c r="J26" s="433"/>
      <c r="K26" s="433"/>
      <c r="L26" s="215">
        <f t="shared" si="9"/>
        <v>1.9</v>
      </c>
      <c r="M26" s="89"/>
      <c r="N26" s="89"/>
    </row>
    <row r="27" spans="1:14" s="90" customFormat="1" ht="15.75" customHeight="1" x14ac:dyDescent="0.3">
      <c r="A27" s="211" t="s">
        <v>390</v>
      </c>
      <c r="B27" s="212">
        <v>0.15</v>
      </c>
      <c r="C27" s="212">
        <v>2.2999999999999998</v>
      </c>
      <c r="D27" s="213">
        <v>0.25</v>
      </c>
      <c r="E27" s="213">
        <v>1</v>
      </c>
      <c r="F27" s="214">
        <f t="shared" si="10"/>
        <v>8.6249999999999993E-2</v>
      </c>
      <c r="G27" s="212">
        <f t="shared" si="8"/>
        <v>0.34499999999999997</v>
      </c>
      <c r="H27" s="214">
        <f t="shared" si="6"/>
        <v>1.7249999999999998E-2</v>
      </c>
      <c r="I27" s="214">
        <f t="shared" si="7"/>
        <v>6.8999999999999992E-2</v>
      </c>
      <c r="J27" s="433"/>
      <c r="K27" s="433"/>
      <c r="L27" s="215">
        <f t="shared" si="9"/>
        <v>1.1499999999999999</v>
      </c>
      <c r="M27" s="89"/>
      <c r="N27" s="89"/>
    </row>
    <row r="28" spans="1:14" s="90" customFormat="1" ht="15.75" customHeight="1" x14ac:dyDescent="0.3">
      <c r="A28" s="211" t="s">
        <v>391</v>
      </c>
      <c r="B28" s="212">
        <v>0.15</v>
      </c>
      <c r="C28" s="212">
        <v>6.65</v>
      </c>
      <c r="D28" s="213">
        <v>0.25</v>
      </c>
      <c r="E28" s="213">
        <v>1</v>
      </c>
      <c r="F28" s="214">
        <f t="shared" si="10"/>
        <v>0.24937500000000001</v>
      </c>
      <c r="G28" s="212">
        <f t="shared" si="8"/>
        <v>0.99750000000000005</v>
      </c>
      <c r="H28" s="214">
        <f t="shared" si="6"/>
        <v>4.9875000000000003E-2</v>
      </c>
      <c r="I28" s="214">
        <f t="shared" si="7"/>
        <v>0.19950000000000001</v>
      </c>
      <c r="J28" s="433"/>
      <c r="K28" s="433"/>
      <c r="L28" s="215">
        <f t="shared" si="9"/>
        <v>3.3250000000000002</v>
      </c>
      <c r="M28" s="89"/>
      <c r="N28" s="89"/>
    </row>
    <row r="29" spans="1:14" s="90" customFormat="1" ht="15.75" customHeight="1" x14ac:dyDescent="0.3">
      <c r="A29" s="211" t="s">
        <v>392</v>
      </c>
      <c r="B29" s="212">
        <v>0.15</v>
      </c>
      <c r="C29" s="212">
        <v>2.93</v>
      </c>
      <c r="D29" s="213">
        <v>0.25</v>
      </c>
      <c r="E29" s="213">
        <v>1</v>
      </c>
      <c r="F29" s="214">
        <f t="shared" si="10"/>
        <v>0.109875</v>
      </c>
      <c r="G29" s="212">
        <f t="shared" si="8"/>
        <v>0.4395</v>
      </c>
      <c r="H29" s="214">
        <f t="shared" si="6"/>
        <v>2.1975000000000001E-2</v>
      </c>
      <c r="I29" s="214">
        <f t="shared" si="7"/>
        <v>8.7900000000000006E-2</v>
      </c>
      <c r="J29" s="433"/>
      <c r="K29" s="433"/>
      <c r="L29" s="215">
        <f t="shared" si="9"/>
        <v>1.4650000000000001</v>
      </c>
      <c r="M29" s="89"/>
      <c r="N29" s="89"/>
    </row>
    <row r="30" spans="1:14" s="90" customFormat="1" ht="15.75" customHeight="1" x14ac:dyDescent="0.3">
      <c r="A30" s="211" t="s">
        <v>393</v>
      </c>
      <c r="B30" s="212">
        <v>0.15</v>
      </c>
      <c r="C30" s="212">
        <v>2.02</v>
      </c>
      <c r="D30" s="213">
        <v>0.25</v>
      </c>
      <c r="E30" s="213">
        <v>1</v>
      </c>
      <c r="F30" s="214">
        <f t="shared" si="10"/>
        <v>7.5749999999999998E-2</v>
      </c>
      <c r="G30" s="212">
        <f t="shared" si="8"/>
        <v>0.30299999999999999</v>
      </c>
      <c r="H30" s="214">
        <f t="shared" si="6"/>
        <v>1.515E-2</v>
      </c>
      <c r="I30" s="214">
        <f t="shared" si="7"/>
        <v>6.0600000000000001E-2</v>
      </c>
      <c r="J30" s="433"/>
      <c r="K30" s="433"/>
      <c r="L30" s="215">
        <f t="shared" si="9"/>
        <v>1.01</v>
      </c>
      <c r="M30" s="89"/>
      <c r="N30" s="89"/>
    </row>
    <row r="31" spans="1:14" s="90" customFormat="1" ht="15.75" customHeight="1" x14ac:dyDescent="0.3">
      <c r="A31" s="211" t="s">
        <v>394</v>
      </c>
      <c r="B31" s="212">
        <v>0.15</v>
      </c>
      <c r="C31" s="212">
        <v>2.09</v>
      </c>
      <c r="D31" s="213">
        <v>0.25</v>
      </c>
      <c r="E31" s="213">
        <v>1</v>
      </c>
      <c r="F31" s="214">
        <f t="shared" si="10"/>
        <v>7.8374999999999986E-2</v>
      </c>
      <c r="G31" s="212">
        <f t="shared" si="8"/>
        <v>0.31349999999999995</v>
      </c>
      <c r="H31" s="214">
        <f t="shared" si="6"/>
        <v>1.5674999999999998E-2</v>
      </c>
      <c r="I31" s="214">
        <f t="shared" si="7"/>
        <v>6.2699999999999992E-2</v>
      </c>
      <c r="J31" s="433"/>
      <c r="K31" s="433"/>
      <c r="L31" s="215">
        <f t="shared" si="9"/>
        <v>1.0449999999999999</v>
      </c>
      <c r="M31" s="89"/>
      <c r="N31" s="89"/>
    </row>
    <row r="32" spans="1:14" s="90" customFormat="1" ht="15.75" customHeight="1" x14ac:dyDescent="0.3">
      <c r="A32" s="211" t="s">
        <v>395</v>
      </c>
      <c r="B32" s="212">
        <v>0.2</v>
      </c>
      <c r="C32" s="212">
        <v>5.73</v>
      </c>
      <c r="D32" s="213">
        <v>0.35</v>
      </c>
      <c r="E32" s="213">
        <v>1</v>
      </c>
      <c r="F32" s="214">
        <f t="shared" si="10"/>
        <v>0.40110000000000001</v>
      </c>
      <c r="G32" s="212">
        <f t="shared" si="8"/>
        <v>1.1460000000000001</v>
      </c>
      <c r="H32" s="214">
        <f t="shared" si="6"/>
        <v>5.7300000000000011E-2</v>
      </c>
      <c r="I32" s="214">
        <f t="shared" si="7"/>
        <v>0.34380000000000005</v>
      </c>
      <c r="J32" s="433"/>
      <c r="K32" s="433"/>
      <c r="L32" s="215">
        <f t="shared" si="9"/>
        <v>4.0110000000000001</v>
      </c>
      <c r="M32" s="89"/>
      <c r="N32" s="89"/>
    </row>
    <row r="33" spans="1:14" s="90" customFormat="1" ht="15.75" customHeight="1" x14ac:dyDescent="0.3">
      <c r="A33" s="211" t="s">
        <v>396</v>
      </c>
      <c r="B33" s="212">
        <v>0.15</v>
      </c>
      <c r="C33" s="212">
        <v>2.0699999999999998</v>
      </c>
      <c r="D33" s="213">
        <v>0.25</v>
      </c>
      <c r="E33" s="213">
        <v>1</v>
      </c>
      <c r="F33" s="214">
        <f t="shared" si="10"/>
        <v>7.7624999999999986E-2</v>
      </c>
      <c r="G33" s="212">
        <f t="shared" si="8"/>
        <v>0.31049999999999994</v>
      </c>
      <c r="H33" s="214">
        <f t="shared" si="6"/>
        <v>1.5524999999999997E-2</v>
      </c>
      <c r="I33" s="214">
        <f t="shared" si="7"/>
        <v>6.2099999999999989E-2</v>
      </c>
      <c r="J33" s="433"/>
      <c r="K33" s="433"/>
      <c r="L33" s="215">
        <f t="shared" si="9"/>
        <v>1.0349999999999999</v>
      </c>
      <c r="M33" s="89"/>
      <c r="N33" s="89"/>
    </row>
    <row r="34" spans="1:14" s="90" customFormat="1" ht="15.75" customHeight="1" x14ac:dyDescent="0.3">
      <c r="A34" s="211" t="s">
        <v>397</v>
      </c>
      <c r="B34" s="212">
        <v>0.15</v>
      </c>
      <c r="C34" s="212">
        <v>2.95</v>
      </c>
      <c r="D34" s="213">
        <v>0.25</v>
      </c>
      <c r="E34" s="213">
        <v>1</v>
      </c>
      <c r="F34" s="214">
        <f t="shared" si="10"/>
        <v>0.110625</v>
      </c>
      <c r="G34" s="212">
        <f t="shared" si="8"/>
        <v>0.4425</v>
      </c>
      <c r="H34" s="214">
        <f t="shared" si="6"/>
        <v>2.2125000000000002E-2</v>
      </c>
      <c r="I34" s="214">
        <f t="shared" si="7"/>
        <v>8.8500000000000009E-2</v>
      </c>
      <c r="J34" s="433"/>
      <c r="K34" s="433"/>
      <c r="L34" s="215">
        <f t="shared" si="9"/>
        <v>1.4750000000000001</v>
      </c>
      <c r="M34" s="89"/>
      <c r="N34" s="89"/>
    </row>
    <row r="35" spans="1:14" s="90" customFormat="1" ht="15.75" customHeight="1" x14ac:dyDescent="0.3">
      <c r="A35" s="211" t="s">
        <v>398</v>
      </c>
      <c r="B35" s="212">
        <v>0.25</v>
      </c>
      <c r="C35" s="212">
        <v>5.3</v>
      </c>
      <c r="D35" s="213">
        <v>0.4</v>
      </c>
      <c r="E35" s="213">
        <v>1</v>
      </c>
      <c r="F35" s="214">
        <f t="shared" si="10"/>
        <v>0.53</v>
      </c>
      <c r="G35" s="212">
        <f t="shared" si="8"/>
        <v>1.325</v>
      </c>
      <c r="H35" s="214">
        <f t="shared" si="6"/>
        <v>6.6250000000000003E-2</v>
      </c>
      <c r="I35" s="214">
        <f t="shared" si="7"/>
        <v>0.46375000000000005</v>
      </c>
      <c r="J35" s="433"/>
      <c r="K35" s="433"/>
      <c r="L35" s="215">
        <f t="shared" si="9"/>
        <v>4.24</v>
      </c>
      <c r="M35" s="89"/>
      <c r="N35" s="89"/>
    </row>
    <row r="36" spans="1:14" s="90" customFormat="1" ht="15.75" customHeight="1" x14ac:dyDescent="0.3">
      <c r="A36" s="211" t="s">
        <v>399</v>
      </c>
      <c r="B36" s="212">
        <v>0.15</v>
      </c>
      <c r="C36" s="212">
        <v>3.55</v>
      </c>
      <c r="D36" s="213">
        <v>0.25</v>
      </c>
      <c r="E36" s="213">
        <v>1</v>
      </c>
      <c r="F36" s="214">
        <f t="shared" si="10"/>
        <v>0.13312499999999999</v>
      </c>
      <c r="G36" s="212">
        <f t="shared" si="8"/>
        <v>0.53249999999999997</v>
      </c>
      <c r="H36" s="214">
        <f t="shared" si="6"/>
        <v>2.6624999999999999E-2</v>
      </c>
      <c r="I36" s="214">
        <f t="shared" si="7"/>
        <v>0.1065</v>
      </c>
      <c r="J36" s="433"/>
      <c r="K36" s="433"/>
      <c r="L36" s="215">
        <f t="shared" si="9"/>
        <v>1.7749999999999999</v>
      </c>
      <c r="M36" s="89"/>
      <c r="N36" s="89"/>
    </row>
    <row r="37" spans="1:14" s="90" customFormat="1" ht="15.75" customHeight="1" x14ac:dyDescent="0.3">
      <c r="A37" s="211" t="s">
        <v>400</v>
      </c>
      <c r="B37" s="212">
        <v>0.15</v>
      </c>
      <c r="C37" s="212">
        <v>3.04</v>
      </c>
      <c r="D37" s="213">
        <v>0.25</v>
      </c>
      <c r="E37" s="213">
        <v>1</v>
      </c>
      <c r="F37" s="214">
        <f t="shared" si="10"/>
        <v>0.11399999999999999</v>
      </c>
      <c r="G37" s="212">
        <f t="shared" si="8"/>
        <v>0.45599999999999996</v>
      </c>
      <c r="H37" s="214">
        <f t="shared" si="6"/>
        <v>2.2800000000000001E-2</v>
      </c>
      <c r="I37" s="214">
        <f t="shared" si="7"/>
        <v>9.1200000000000003E-2</v>
      </c>
      <c r="J37" s="433"/>
      <c r="K37" s="433"/>
      <c r="L37" s="215">
        <f t="shared" si="9"/>
        <v>1.52</v>
      </c>
      <c r="M37" s="89"/>
      <c r="N37" s="89"/>
    </row>
    <row r="38" spans="1:14" s="90" customFormat="1" ht="15.75" customHeight="1" x14ac:dyDescent="0.3">
      <c r="A38" s="211" t="s">
        <v>401</v>
      </c>
      <c r="B38" s="212">
        <v>0.15</v>
      </c>
      <c r="C38" s="212">
        <v>10.68</v>
      </c>
      <c r="D38" s="213">
        <v>0.25</v>
      </c>
      <c r="E38" s="213">
        <v>1</v>
      </c>
      <c r="F38" s="214">
        <f t="shared" ref="F38:F42" si="11">(B38)*(C38)*(D38)*E38</f>
        <v>0.40049999999999997</v>
      </c>
      <c r="G38" s="212">
        <f t="shared" si="8"/>
        <v>1.6019999999999999</v>
      </c>
      <c r="H38" s="214">
        <f t="shared" si="6"/>
        <v>8.0100000000000005E-2</v>
      </c>
      <c r="I38" s="214">
        <f t="shared" si="7"/>
        <v>0.32040000000000002</v>
      </c>
      <c r="J38" s="433"/>
      <c r="K38" s="433"/>
      <c r="L38" s="215">
        <f t="shared" si="9"/>
        <v>5.34</v>
      </c>
      <c r="M38" s="89"/>
      <c r="N38" s="89"/>
    </row>
    <row r="39" spans="1:14" s="90" customFormat="1" ht="15.75" customHeight="1" x14ac:dyDescent="0.3">
      <c r="A39" s="211" t="s">
        <v>402</v>
      </c>
      <c r="B39" s="212">
        <v>0.2</v>
      </c>
      <c r="C39" s="212">
        <v>10.98</v>
      </c>
      <c r="D39" s="213">
        <v>0.25</v>
      </c>
      <c r="E39" s="213">
        <v>1</v>
      </c>
      <c r="F39" s="214">
        <f t="shared" si="11"/>
        <v>0.54900000000000004</v>
      </c>
      <c r="G39" s="212">
        <f t="shared" si="8"/>
        <v>2.1960000000000002</v>
      </c>
      <c r="H39" s="214">
        <f t="shared" si="6"/>
        <v>0.10980000000000001</v>
      </c>
      <c r="I39" s="214">
        <f t="shared" si="7"/>
        <v>0.43920000000000003</v>
      </c>
      <c r="J39" s="433"/>
      <c r="K39" s="433"/>
      <c r="L39" s="215">
        <f t="shared" si="9"/>
        <v>5.49</v>
      </c>
      <c r="M39" s="89"/>
      <c r="N39" s="89"/>
    </row>
    <row r="40" spans="1:14" s="90" customFormat="1" ht="15.75" customHeight="1" x14ac:dyDescent="0.3">
      <c r="A40" s="211" t="s">
        <v>403</v>
      </c>
      <c r="B40" s="212">
        <v>0.15</v>
      </c>
      <c r="C40" s="212">
        <v>2.41</v>
      </c>
      <c r="D40" s="213">
        <v>0.2</v>
      </c>
      <c r="E40" s="213">
        <v>1</v>
      </c>
      <c r="F40" s="214">
        <f t="shared" si="11"/>
        <v>7.2300000000000003E-2</v>
      </c>
      <c r="G40" s="212">
        <f t="shared" si="8"/>
        <v>0.36149999999999999</v>
      </c>
      <c r="H40" s="214">
        <f t="shared" si="6"/>
        <v>1.8075000000000001E-2</v>
      </c>
      <c r="I40" s="214">
        <f t="shared" si="7"/>
        <v>5.4225000000000009E-2</v>
      </c>
      <c r="J40" s="433"/>
      <c r="K40" s="433"/>
      <c r="L40" s="215">
        <f t="shared" si="9"/>
        <v>0.96400000000000008</v>
      </c>
      <c r="M40" s="89"/>
      <c r="N40" s="89"/>
    </row>
    <row r="41" spans="1:14" s="90" customFormat="1" ht="15.75" customHeight="1" x14ac:dyDescent="0.3">
      <c r="A41" s="211" t="s">
        <v>404</v>
      </c>
      <c r="B41" s="212">
        <v>0.15</v>
      </c>
      <c r="C41" s="212">
        <v>2.13</v>
      </c>
      <c r="D41" s="213">
        <v>0.25</v>
      </c>
      <c r="E41" s="213">
        <v>1</v>
      </c>
      <c r="F41" s="214">
        <f t="shared" si="11"/>
        <v>7.9874999999999988E-2</v>
      </c>
      <c r="G41" s="212">
        <f t="shared" si="8"/>
        <v>0.31949999999999995</v>
      </c>
      <c r="H41" s="214">
        <f t="shared" si="6"/>
        <v>1.5975E-2</v>
      </c>
      <c r="I41" s="214">
        <f t="shared" si="7"/>
        <v>6.3899999999999998E-2</v>
      </c>
      <c r="J41" s="433"/>
      <c r="K41" s="433"/>
      <c r="L41" s="215">
        <f t="shared" si="9"/>
        <v>1.0649999999999999</v>
      </c>
      <c r="M41" s="89"/>
      <c r="N41" s="89"/>
    </row>
    <row r="42" spans="1:14" s="90" customFormat="1" ht="15.75" customHeight="1" x14ac:dyDescent="0.3">
      <c r="A42" s="211" t="s">
        <v>405</v>
      </c>
      <c r="B42" s="212">
        <v>0.15</v>
      </c>
      <c r="C42" s="212">
        <v>3.48</v>
      </c>
      <c r="D42" s="213">
        <v>0.25</v>
      </c>
      <c r="E42" s="213">
        <v>1</v>
      </c>
      <c r="F42" s="214">
        <f t="shared" si="11"/>
        <v>0.1305</v>
      </c>
      <c r="G42" s="212">
        <f t="shared" si="8"/>
        <v>0.52200000000000002</v>
      </c>
      <c r="H42" s="214">
        <f t="shared" si="6"/>
        <v>2.6100000000000002E-2</v>
      </c>
      <c r="I42" s="214">
        <f t="shared" si="7"/>
        <v>0.10440000000000001</v>
      </c>
      <c r="J42" s="433"/>
      <c r="K42" s="433"/>
      <c r="L42" s="215">
        <f t="shared" si="9"/>
        <v>1.74</v>
      </c>
      <c r="M42" s="89"/>
      <c r="N42" s="89"/>
    </row>
    <row r="43" spans="1:14" s="90" customFormat="1" ht="15.75" customHeight="1" x14ac:dyDescent="0.3">
      <c r="A43" s="211" t="s">
        <v>406</v>
      </c>
      <c r="B43" s="212">
        <v>0.15</v>
      </c>
      <c r="C43" s="212">
        <v>2.65</v>
      </c>
      <c r="D43" s="213">
        <v>0.25</v>
      </c>
      <c r="E43" s="213">
        <v>1</v>
      </c>
      <c r="F43" s="214">
        <f t="shared" ref="F43:F50" si="12">(B43)*(C43)*(D43)*E43</f>
        <v>9.9374999999999991E-2</v>
      </c>
      <c r="G43" s="212">
        <f t="shared" si="8"/>
        <v>0.39749999999999996</v>
      </c>
      <c r="H43" s="214">
        <f t="shared" si="6"/>
        <v>1.9875E-2</v>
      </c>
      <c r="I43" s="214">
        <f t="shared" si="7"/>
        <v>7.9500000000000001E-2</v>
      </c>
      <c r="J43" s="433"/>
      <c r="K43" s="433"/>
      <c r="L43" s="215">
        <f t="shared" si="9"/>
        <v>1.325</v>
      </c>
      <c r="M43" s="89"/>
      <c r="N43" s="89"/>
    </row>
    <row r="44" spans="1:14" s="90" customFormat="1" ht="15.75" customHeight="1" x14ac:dyDescent="0.3">
      <c r="A44" s="211" t="s">
        <v>407</v>
      </c>
      <c r="B44" s="212">
        <v>0.15</v>
      </c>
      <c r="C44" s="212">
        <v>5.18</v>
      </c>
      <c r="D44" s="213">
        <v>0.25</v>
      </c>
      <c r="E44" s="213">
        <v>1</v>
      </c>
      <c r="F44" s="214">
        <f t="shared" si="12"/>
        <v>0.19424999999999998</v>
      </c>
      <c r="G44" s="212">
        <f t="shared" si="8"/>
        <v>0.77699999999999991</v>
      </c>
      <c r="H44" s="214">
        <f t="shared" si="6"/>
        <v>3.8849999999999996E-2</v>
      </c>
      <c r="I44" s="214">
        <f t="shared" si="7"/>
        <v>0.15539999999999998</v>
      </c>
      <c r="J44" s="433"/>
      <c r="K44" s="433"/>
      <c r="L44" s="215">
        <f t="shared" si="9"/>
        <v>2.59</v>
      </c>
      <c r="M44" s="89"/>
      <c r="N44" s="89"/>
    </row>
    <row r="45" spans="1:14" s="90" customFormat="1" ht="15.75" customHeight="1" x14ac:dyDescent="0.3">
      <c r="A45" s="211" t="s">
        <v>408</v>
      </c>
      <c r="B45" s="212">
        <v>0.15</v>
      </c>
      <c r="C45" s="212">
        <v>7.04</v>
      </c>
      <c r="D45" s="213">
        <v>0.25</v>
      </c>
      <c r="E45" s="213">
        <v>1</v>
      </c>
      <c r="F45" s="214">
        <f t="shared" si="12"/>
        <v>0.26400000000000001</v>
      </c>
      <c r="G45" s="212">
        <f t="shared" si="8"/>
        <v>1.056</v>
      </c>
      <c r="H45" s="214">
        <f t="shared" si="6"/>
        <v>5.2800000000000007E-2</v>
      </c>
      <c r="I45" s="214">
        <f t="shared" si="7"/>
        <v>0.21120000000000003</v>
      </c>
      <c r="J45" s="433"/>
      <c r="K45" s="433"/>
      <c r="L45" s="215">
        <f t="shared" si="9"/>
        <v>3.52</v>
      </c>
      <c r="M45" s="89"/>
      <c r="N45" s="89"/>
    </row>
    <row r="46" spans="1:14" s="90" customFormat="1" ht="15.75" customHeight="1" x14ac:dyDescent="0.3">
      <c r="A46" s="211" t="s">
        <v>409</v>
      </c>
      <c r="B46" s="212">
        <v>0.15</v>
      </c>
      <c r="C46" s="212">
        <v>4.0199999999999996</v>
      </c>
      <c r="D46" s="213">
        <v>0.25</v>
      </c>
      <c r="E46" s="213">
        <v>1</v>
      </c>
      <c r="F46" s="214">
        <f t="shared" si="12"/>
        <v>0.15074999999999997</v>
      </c>
      <c r="G46" s="212">
        <f t="shared" si="8"/>
        <v>0.60299999999999987</v>
      </c>
      <c r="H46" s="214">
        <f t="shared" si="6"/>
        <v>3.0149999999999996E-2</v>
      </c>
      <c r="I46" s="214">
        <f t="shared" si="7"/>
        <v>0.12059999999999998</v>
      </c>
      <c r="J46" s="433"/>
      <c r="K46" s="433"/>
      <c r="L46" s="215">
        <f t="shared" si="9"/>
        <v>2.0099999999999998</v>
      </c>
      <c r="M46" s="89"/>
      <c r="N46" s="89"/>
    </row>
    <row r="47" spans="1:14" s="90" customFormat="1" ht="15.75" customHeight="1" x14ac:dyDescent="0.3">
      <c r="A47" s="211" t="s">
        <v>410</v>
      </c>
      <c r="B47" s="212">
        <v>0.2</v>
      </c>
      <c r="C47" s="212">
        <v>6.23</v>
      </c>
      <c r="D47" s="213">
        <v>0.3</v>
      </c>
      <c r="E47" s="213">
        <v>1</v>
      </c>
      <c r="F47" s="214">
        <f t="shared" si="12"/>
        <v>0.37380000000000008</v>
      </c>
      <c r="G47" s="212">
        <f t="shared" si="8"/>
        <v>1.2460000000000002</v>
      </c>
      <c r="H47" s="214">
        <f t="shared" si="6"/>
        <v>6.2300000000000015E-2</v>
      </c>
      <c r="I47" s="214">
        <f t="shared" si="7"/>
        <v>0.31150000000000005</v>
      </c>
      <c r="J47" s="433"/>
      <c r="K47" s="433"/>
      <c r="L47" s="215">
        <f t="shared" si="9"/>
        <v>3.738</v>
      </c>
      <c r="M47" s="89"/>
      <c r="N47" s="89"/>
    </row>
    <row r="48" spans="1:14" s="90" customFormat="1" ht="15.75" customHeight="1" x14ac:dyDescent="0.3">
      <c r="A48" s="211" t="s">
        <v>411</v>
      </c>
      <c r="B48" s="212">
        <v>0.2</v>
      </c>
      <c r="C48" s="212">
        <v>6.24</v>
      </c>
      <c r="D48" s="213">
        <v>0.3</v>
      </c>
      <c r="E48" s="213">
        <v>1</v>
      </c>
      <c r="F48" s="214">
        <f t="shared" si="12"/>
        <v>0.37440000000000007</v>
      </c>
      <c r="G48" s="212">
        <f t="shared" si="8"/>
        <v>1.2480000000000002</v>
      </c>
      <c r="H48" s="214">
        <f t="shared" si="6"/>
        <v>6.2400000000000011E-2</v>
      </c>
      <c r="I48" s="214">
        <f t="shared" si="7"/>
        <v>0.31200000000000006</v>
      </c>
      <c r="J48" s="433"/>
      <c r="K48" s="433"/>
      <c r="L48" s="215">
        <f t="shared" si="9"/>
        <v>3.7439999999999998</v>
      </c>
      <c r="M48" s="89"/>
      <c r="N48" s="89"/>
    </row>
    <row r="49" spans="1:14" s="90" customFormat="1" ht="15.75" customHeight="1" x14ac:dyDescent="0.3">
      <c r="A49" s="211" t="s">
        <v>412</v>
      </c>
      <c r="B49" s="212">
        <v>0.15</v>
      </c>
      <c r="C49" s="212">
        <v>5.99</v>
      </c>
      <c r="D49" s="213">
        <v>0.25</v>
      </c>
      <c r="E49" s="213">
        <v>1</v>
      </c>
      <c r="F49" s="214">
        <f t="shared" si="12"/>
        <v>0.22462499999999999</v>
      </c>
      <c r="G49" s="212">
        <f t="shared" si="8"/>
        <v>0.89849999999999997</v>
      </c>
      <c r="H49" s="214">
        <f t="shared" si="6"/>
        <v>4.4925E-2</v>
      </c>
      <c r="I49" s="214">
        <f t="shared" si="7"/>
        <v>0.1797</v>
      </c>
      <c r="J49" s="433"/>
      <c r="K49" s="433"/>
      <c r="L49" s="215">
        <f t="shared" si="9"/>
        <v>2.9950000000000001</v>
      </c>
      <c r="M49" s="89"/>
      <c r="N49" s="89"/>
    </row>
    <row r="50" spans="1:14" s="90" customFormat="1" ht="15.75" customHeight="1" x14ac:dyDescent="0.3">
      <c r="A50" s="211" t="s">
        <v>413</v>
      </c>
      <c r="B50" s="212">
        <v>0.15</v>
      </c>
      <c r="C50" s="212">
        <v>0.95</v>
      </c>
      <c r="D50" s="213">
        <v>0.25</v>
      </c>
      <c r="E50" s="213">
        <v>1</v>
      </c>
      <c r="F50" s="214">
        <f t="shared" si="12"/>
        <v>3.5624999999999997E-2</v>
      </c>
      <c r="G50" s="212">
        <f t="shared" si="8"/>
        <v>0.14249999999999999</v>
      </c>
      <c r="H50" s="214">
        <f t="shared" si="6"/>
        <v>7.1249999999999994E-3</v>
      </c>
      <c r="I50" s="214">
        <f t="shared" si="7"/>
        <v>2.8499999999999998E-2</v>
      </c>
      <c r="J50" s="433"/>
      <c r="K50" s="433"/>
      <c r="L50" s="215">
        <f t="shared" si="9"/>
        <v>0.47499999999999998</v>
      </c>
      <c r="M50" s="89"/>
      <c r="N50" s="89"/>
    </row>
    <row r="51" spans="1:14" s="90" customFormat="1" ht="15.75" customHeight="1" x14ac:dyDescent="0.3">
      <c r="A51" s="211" t="s">
        <v>414</v>
      </c>
      <c r="B51" s="212">
        <v>0.15</v>
      </c>
      <c r="C51" s="212">
        <v>7.76</v>
      </c>
      <c r="D51" s="213">
        <v>0.25</v>
      </c>
      <c r="E51" s="213">
        <v>1</v>
      </c>
      <c r="F51" s="214">
        <f t="shared" ref="F51:F52" si="13">(B51)*(C51)*(D51)*E51</f>
        <v>0.29099999999999998</v>
      </c>
      <c r="G51" s="212">
        <f t="shared" si="8"/>
        <v>1.1639999999999999</v>
      </c>
      <c r="H51" s="214">
        <f t="shared" si="6"/>
        <v>5.8200000000000002E-2</v>
      </c>
      <c r="I51" s="214">
        <f t="shared" si="7"/>
        <v>0.23280000000000001</v>
      </c>
      <c r="J51" s="433"/>
      <c r="K51" s="433"/>
      <c r="L51" s="215">
        <f t="shared" si="9"/>
        <v>3.88</v>
      </c>
      <c r="M51" s="89"/>
      <c r="N51" s="89"/>
    </row>
    <row r="52" spans="1:14" s="90" customFormat="1" ht="15.75" customHeight="1" x14ac:dyDescent="0.3">
      <c r="A52" s="211" t="s">
        <v>415</v>
      </c>
      <c r="B52" s="212">
        <v>0.2</v>
      </c>
      <c r="C52" s="212">
        <v>3.65</v>
      </c>
      <c r="D52" s="213">
        <v>0.3</v>
      </c>
      <c r="E52" s="213">
        <v>1</v>
      </c>
      <c r="F52" s="214">
        <f t="shared" si="13"/>
        <v>0.219</v>
      </c>
      <c r="G52" s="212">
        <f t="shared" si="8"/>
        <v>0.73</v>
      </c>
      <c r="H52" s="214">
        <f t="shared" si="6"/>
        <v>3.6499999999999998E-2</v>
      </c>
      <c r="I52" s="214">
        <f t="shared" si="7"/>
        <v>0.1825</v>
      </c>
      <c r="J52" s="433"/>
      <c r="K52" s="433"/>
      <c r="L52" s="215">
        <f t="shared" si="9"/>
        <v>2.19</v>
      </c>
      <c r="M52" s="89"/>
      <c r="N52" s="89"/>
    </row>
    <row r="53" spans="1:14" s="90" customFormat="1" ht="15.75" customHeight="1" thickBot="1" x14ac:dyDescent="0.35">
      <c r="A53" s="211" t="s">
        <v>416</v>
      </c>
      <c r="B53" s="212">
        <v>0.2</v>
      </c>
      <c r="C53" s="212">
        <v>4.08</v>
      </c>
      <c r="D53" s="213">
        <v>0.25</v>
      </c>
      <c r="E53" s="213">
        <v>1</v>
      </c>
      <c r="F53" s="214">
        <f t="shared" ref="F53" si="14">(B53)*(C53)*(D53)*E53</f>
        <v>0.20400000000000001</v>
      </c>
      <c r="G53" s="212">
        <f t="shared" si="8"/>
        <v>0.81600000000000006</v>
      </c>
      <c r="H53" s="214">
        <f t="shared" si="6"/>
        <v>4.0800000000000003E-2</v>
      </c>
      <c r="I53" s="214">
        <f t="shared" si="7"/>
        <v>0.16320000000000001</v>
      </c>
      <c r="J53" s="450"/>
      <c r="K53" s="450"/>
      <c r="L53" s="215">
        <f t="shared" si="9"/>
        <v>2.04</v>
      </c>
      <c r="M53" s="89"/>
      <c r="N53" s="89"/>
    </row>
    <row r="54" spans="1:14" s="219" customFormat="1" ht="18" customHeight="1" thickBot="1" x14ac:dyDescent="0.3">
      <c r="A54" s="231"/>
      <c r="B54" s="232"/>
      <c r="C54" s="232" t="s">
        <v>381</v>
      </c>
      <c r="D54" s="232"/>
      <c r="E54" s="233"/>
      <c r="F54" s="216">
        <f>SUM(F20:F53)</f>
        <v>7.1956500000000023</v>
      </c>
      <c r="G54" s="216">
        <f>SUM(G20:G53)</f>
        <v>26.467500000000001</v>
      </c>
      <c r="H54" s="216">
        <f>SUM(H20:H53)</f>
        <v>1.3233750000000002</v>
      </c>
      <c r="I54" s="216">
        <f>SUM(I20:I53)</f>
        <v>5.872275000000001</v>
      </c>
      <c r="J54" s="216">
        <f>57.7 + 100.6 + 84</f>
        <v>242.3</v>
      </c>
      <c r="K54" s="216">
        <f>164.6 + 97.9 + 73.9</f>
        <v>336.4</v>
      </c>
      <c r="L54" s="216">
        <f>SUM(L20:L53)</f>
        <v>83.330000000000013</v>
      </c>
      <c r="M54" s="218"/>
      <c r="N54" s="218"/>
    </row>
    <row r="55" spans="1:14" s="90" customFormat="1" ht="15.75" customHeight="1" thickBot="1" x14ac:dyDescent="0.35">
      <c r="A55" s="185"/>
      <c r="B55" s="185"/>
      <c r="C55" s="185"/>
      <c r="D55" s="185"/>
      <c r="E55" s="88"/>
      <c r="F55" s="88"/>
      <c r="G55" s="88"/>
      <c r="H55" s="88"/>
      <c r="I55" s="88"/>
      <c r="J55" s="89"/>
      <c r="K55" s="89"/>
      <c r="L55" s="89"/>
      <c r="M55" s="89"/>
      <c r="N55" s="89"/>
    </row>
    <row r="56" spans="1:14" s="90" customFormat="1" ht="18" customHeight="1" thickBot="1" x14ac:dyDescent="0.35">
      <c r="A56" s="424" t="s">
        <v>496</v>
      </c>
      <c r="B56" s="425"/>
      <c r="C56" s="425"/>
      <c r="D56" s="425"/>
      <c r="E56" s="425"/>
      <c r="F56" s="426"/>
      <c r="G56" s="247"/>
      <c r="H56" s="88"/>
      <c r="I56" s="88"/>
      <c r="J56" s="89"/>
      <c r="K56" s="89"/>
      <c r="L56" s="89"/>
      <c r="M56" s="89"/>
      <c r="N56" s="89"/>
    </row>
    <row r="57" spans="1:14" s="90" customFormat="1" ht="40.049999999999997" customHeight="1" x14ac:dyDescent="0.3">
      <c r="A57" s="248" t="s">
        <v>418</v>
      </c>
      <c r="B57" s="249" t="s">
        <v>419</v>
      </c>
      <c r="C57" s="249" t="s">
        <v>370</v>
      </c>
      <c r="D57" s="250" t="s">
        <v>500</v>
      </c>
      <c r="E57" s="250" t="s">
        <v>499</v>
      </c>
      <c r="F57" s="251" t="s">
        <v>371</v>
      </c>
      <c r="H57" s="88"/>
      <c r="I57" s="88"/>
      <c r="J57" s="89"/>
      <c r="K57" s="89"/>
      <c r="L57" s="89"/>
      <c r="M57" s="89"/>
      <c r="N57" s="89"/>
    </row>
    <row r="58" spans="1:14" s="90" customFormat="1" ht="25.05" customHeight="1" thickBot="1" x14ac:dyDescent="0.35">
      <c r="A58" s="252">
        <f>F54+F16</f>
        <v>15.363650000000003</v>
      </c>
      <c r="B58" s="253">
        <f>G54</f>
        <v>26.467500000000001</v>
      </c>
      <c r="C58" s="253">
        <f>H54+G16</f>
        <v>3.3653750000000002</v>
      </c>
      <c r="D58" s="253">
        <f>I54+H16</f>
        <v>13.019275</v>
      </c>
      <c r="E58" s="253">
        <f>J54+I16+K54+J16</f>
        <v>830.71979800000008</v>
      </c>
      <c r="F58" s="254">
        <f>L54+K16</f>
        <v>124.61000000000001</v>
      </c>
      <c r="H58" s="88"/>
      <c r="I58" s="88"/>
      <c r="J58" s="89"/>
      <c r="K58" s="89"/>
      <c r="L58" s="89"/>
      <c r="M58" s="89"/>
      <c r="N58" s="89"/>
    </row>
    <row r="59" spans="1:14" s="90" customFormat="1" ht="15.75" customHeight="1" thickBot="1" x14ac:dyDescent="0.35">
      <c r="A59" s="185"/>
      <c r="B59" s="185"/>
      <c r="C59" s="185"/>
      <c r="D59" s="185"/>
      <c r="E59" s="88"/>
      <c r="F59" s="88"/>
      <c r="G59" s="88"/>
      <c r="H59" s="88"/>
      <c r="I59" s="88"/>
      <c r="J59" s="89"/>
      <c r="K59" s="89"/>
      <c r="L59" s="89"/>
      <c r="M59" s="89"/>
      <c r="N59" s="89"/>
    </row>
    <row r="60" spans="1:14" s="90" customFormat="1" ht="18" customHeight="1" thickBot="1" x14ac:dyDescent="0.35">
      <c r="A60" s="419" t="s">
        <v>434</v>
      </c>
      <c r="B60" s="420"/>
      <c r="C60" s="420"/>
      <c r="D60" s="421"/>
      <c r="E60" s="210"/>
      <c r="F60" s="210"/>
      <c r="G60" s="210"/>
      <c r="H60" s="210"/>
      <c r="I60" s="210"/>
      <c r="J60" s="82"/>
      <c r="K60" s="82"/>
      <c r="L60" s="89"/>
      <c r="M60" s="89"/>
      <c r="N60" s="89"/>
    </row>
    <row r="61" spans="1:14" s="90" customFormat="1" ht="45" customHeight="1" x14ac:dyDescent="0.3">
      <c r="A61" s="220" t="s">
        <v>7</v>
      </c>
      <c r="B61" s="221" t="s">
        <v>366</v>
      </c>
      <c r="C61" s="222" t="s">
        <v>367</v>
      </c>
      <c r="D61" s="222" t="s">
        <v>368</v>
      </c>
      <c r="E61" s="222" t="s">
        <v>9</v>
      </c>
      <c r="F61" s="223" t="s">
        <v>429</v>
      </c>
      <c r="G61" s="224" t="s">
        <v>423</v>
      </c>
      <c r="H61" s="224" t="s">
        <v>424</v>
      </c>
      <c r="I61" s="225" t="s">
        <v>371</v>
      </c>
      <c r="M61" s="89"/>
      <c r="N61" s="89"/>
    </row>
    <row r="62" spans="1:14" s="90" customFormat="1" ht="15.75" customHeight="1" x14ac:dyDescent="0.3">
      <c r="A62" s="211" t="s">
        <v>435</v>
      </c>
      <c r="B62" s="212">
        <v>0.15</v>
      </c>
      <c r="C62" s="212">
        <v>0.2</v>
      </c>
      <c r="D62" s="213">
        <v>3.5</v>
      </c>
      <c r="E62" s="213">
        <v>1</v>
      </c>
      <c r="F62" s="214">
        <f>B62*C62*(D62-0.05)*E62</f>
        <v>0.10349999999999999</v>
      </c>
      <c r="G62" s="430">
        <v>147</v>
      </c>
      <c r="H62" s="430">
        <v>552</v>
      </c>
      <c r="I62" s="215">
        <f>(B62*D62*2*E62)+(C62*D62*2*E62)</f>
        <v>2.4500000000000002</v>
      </c>
      <c r="M62" s="89"/>
      <c r="N62" s="89"/>
    </row>
    <row r="63" spans="1:14" s="90" customFormat="1" ht="15.75" customHeight="1" x14ac:dyDescent="0.3">
      <c r="A63" s="211" t="s">
        <v>437</v>
      </c>
      <c r="B63" s="212">
        <v>0.15</v>
      </c>
      <c r="C63" s="212">
        <v>0.2</v>
      </c>
      <c r="D63" s="213">
        <v>3.5</v>
      </c>
      <c r="E63" s="213">
        <v>2</v>
      </c>
      <c r="F63" s="214">
        <f t="shared" ref="F63:F86" si="15">B63*C63*(D63-0.05)*E63</f>
        <v>0.20699999999999999</v>
      </c>
      <c r="G63" s="431"/>
      <c r="H63" s="431"/>
      <c r="I63" s="215">
        <f t="shared" ref="I63:I86" si="16">(B63*D63*2*E63)+(C63*D63*2*E63)</f>
        <v>4.9000000000000004</v>
      </c>
      <c r="M63" s="89"/>
      <c r="N63" s="89"/>
    </row>
    <row r="64" spans="1:14" s="90" customFormat="1" ht="15.75" customHeight="1" x14ac:dyDescent="0.3">
      <c r="A64" s="211" t="s">
        <v>436</v>
      </c>
      <c r="B64" s="212">
        <v>0.2</v>
      </c>
      <c r="C64" s="212">
        <v>0.15</v>
      </c>
      <c r="D64" s="213">
        <v>3.5</v>
      </c>
      <c r="E64" s="213">
        <v>2</v>
      </c>
      <c r="F64" s="214">
        <f t="shared" si="15"/>
        <v>0.20699999999999999</v>
      </c>
      <c r="G64" s="431"/>
      <c r="H64" s="431"/>
      <c r="I64" s="215">
        <f t="shared" si="16"/>
        <v>4.9000000000000004</v>
      </c>
      <c r="M64" s="89"/>
      <c r="N64" s="89"/>
    </row>
    <row r="65" spans="1:14" s="90" customFormat="1" ht="15.75" customHeight="1" x14ac:dyDescent="0.3">
      <c r="A65" s="211" t="s">
        <v>438</v>
      </c>
      <c r="B65" s="212">
        <v>0.15</v>
      </c>
      <c r="C65" s="212">
        <v>0.2</v>
      </c>
      <c r="D65" s="213">
        <v>3.5</v>
      </c>
      <c r="E65" s="213">
        <v>3</v>
      </c>
      <c r="F65" s="214">
        <f t="shared" si="15"/>
        <v>0.3105</v>
      </c>
      <c r="G65" s="431"/>
      <c r="H65" s="431"/>
      <c r="I65" s="215">
        <f t="shared" si="16"/>
        <v>7.3500000000000005</v>
      </c>
      <c r="M65" s="89"/>
      <c r="N65" s="89"/>
    </row>
    <row r="66" spans="1:14" s="90" customFormat="1" ht="15.75" customHeight="1" x14ac:dyDescent="0.3">
      <c r="A66" s="211" t="s">
        <v>439</v>
      </c>
      <c r="B66" s="212">
        <v>0.15</v>
      </c>
      <c r="C66" s="212">
        <v>0.2</v>
      </c>
      <c r="D66" s="213">
        <v>3.5</v>
      </c>
      <c r="E66" s="213">
        <v>1</v>
      </c>
      <c r="F66" s="214">
        <f t="shared" si="15"/>
        <v>0.10349999999999999</v>
      </c>
      <c r="G66" s="431"/>
      <c r="H66" s="431"/>
      <c r="I66" s="215">
        <f t="shared" si="16"/>
        <v>2.4500000000000002</v>
      </c>
      <c r="M66" s="89"/>
      <c r="N66" s="89"/>
    </row>
    <row r="67" spans="1:14" s="90" customFormat="1" ht="15.75" customHeight="1" x14ac:dyDescent="0.3">
      <c r="A67" s="211" t="s">
        <v>440</v>
      </c>
      <c r="B67" s="212">
        <v>0.2</v>
      </c>
      <c r="C67" s="212">
        <v>0.15</v>
      </c>
      <c r="D67" s="213">
        <v>3.5</v>
      </c>
      <c r="E67" s="213">
        <v>4</v>
      </c>
      <c r="F67" s="214">
        <f t="shared" si="15"/>
        <v>0.41399999999999998</v>
      </c>
      <c r="G67" s="431"/>
      <c r="H67" s="431"/>
      <c r="I67" s="215">
        <f t="shared" si="16"/>
        <v>9.8000000000000007</v>
      </c>
      <c r="M67" s="89"/>
      <c r="N67" s="89"/>
    </row>
    <row r="68" spans="1:14" s="90" customFormat="1" ht="15.75" customHeight="1" x14ac:dyDescent="0.3">
      <c r="A68" s="211" t="s">
        <v>441</v>
      </c>
      <c r="B68" s="212">
        <v>0.15</v>
      </c>
      <c r="C68" s="212">
        <v>0.2</v>
      </c>
      <c r="D68" s="213">
        <v>3.5</v>
      </c>
      <c r="E68" s="213">
        <v>1</v>
      </c>
      <c r="F68" s="214">
        <f t="shared" si="15"/>
        <v>0.10349999999999999</v>
      </c>
      <c r="G68" s="431"/>
      <c r="H68" s="431"/>
      <c r="I68" s="215">
        <f t="shared" si="16"/>
        <v>2.4500000000000002</v>
      </c>
      <c r="M68" s="89"/>
      <c r="N68" s="89"/>
    </row>
    <row r="69" spans="1:14" s="90" customFormat="1" ht="15.75" customHeight="1" x14ac:dyDescent="0.3">
      <c r="A69" s="211" t="s">
        <v>442</v>
      </c>
      <c r="B69" s="212">
        <v>0.15</v>
      </c>
      <c r="C69" s="212">
        <v>0.2</v>
      </c>
      <c r="D69" s="213">
        <v>3.5</v>
      </c>
      <c r="E69" s="213">
        <v>1</v>
      </c>
      <c r="F69" s="214">
        <f t="shared" si="15"/>
        <v>0.10349999999999999</v>
      </c>
      <c r="G69" s="431"/>
      <c r="H69" s="431"/>
      <c r="I69" s="215">
        <f t="shared" si="16"/>
        <v>2.4500000000000002</v>
      </c>
      <c r="M69" s="89"/>
      <c r="N69" s="89"/>
    </row>
    <row r="70" spans="1:14" s="90" customFormat="1" ht="15.75" customHeight="1" x14ac:dyDescent="0.3">
      <c r="A70" s="211" t="s">
        <v>443</v>
      </c>
      <c r="B70" s="212">
        <v>0.2</v>
      </c>
      <c r="C70" s="212">
        <v>0.15</v>
      </c>
      <c r="D70" s="213">
        <v>3.5</v>
      </c>
      <c r="E70" s="213">
        <v>1</v>
      </c>
      <c r="F70" s="214">
        <f t="shared" si="15"/>
        <v>0.10349999999999999</v>
      </c>
      <c r="G70" s="431"/>
      <c r="H70" s="431"/>
      <c r="I70" s="215">
        <f t="shared" si="16"/>
        <v>2.4500000000000002</v>
      </c>
      <c r="M70" s="89"/>
      <c r="N70" s="89"/>
    </row>
    <row r="71" spans="1:14" s="90" customFormat="1" ht="15.75" customHeight="1" x14ac:dyDescent="0.3">
      <c r="A71" s="211" t="s">
        <v>444</v>
      </c>
      <c r="B71" s="212">
        <v>0.2</v>
      </c>
      <c r="C71" s="212">
        <v>0.15</v>
      </c>
      <c r="D71" s="213">
        <v>3.5</v>
      </c>
      <c r="E71" s="213">
        <v>1</v>
      </c>
      <c r="F71" s="214">
        <f t="shared" si="15"/>
        <v>0.10349999999999999</v>
      </c>
      <c r="G71" s="431"/>
      <c r="H71" s="431"/>
      <c r="I71" s="215">
        <f t="shared" si="16"/>
        <v>2.4500000000000002</v>
      </c>
      <c r="M71" s="89"/>
      <c r="N71" s="89"/>
    </row>
    <row r="72" spans="1:14" s="90" customFormat="1" ht="15.75" customHeight="1" x14ac:dyDescent="0.3">
      <c r="A72" s="211" t="s">
        <v>445</v>
      </c>
      <c r="B72" s="212">
        <v>0.2</v>
      </c>
      <c r="C72" s="212">
        <v>0.15</v>
      </c>
      <c r="D72" s="213">
        <v>3.5</v>
      </c>
      <c r="E72" s="213">
        <v>1</v>
      </c>
      <c r="F72" s="214">
        <f t="shared" si="15"/>
        <v>0.10349999999999999</v>
      </c>
      <c r="G72" s="431"/>
      <c r="H72" s="431"/>
      <c r="I72" s="215">
        <f t="shared" si="16"/>
        <v>2.4500000000000002</v>
      </c>
      <c r="M72" s="89"/>
      <c r="N72" s="89"/>
    </row>
    <row r="73" spans="1:14" s="90" customFormat="1" ht="15.75" customHeight="1" x14ac:dyDescent="0.3">
      <c r="A73" s="211" t="s">
        <v>446</v>
      </c>
      <c r="B73" s="212">
        <v>0.15</v>
      </c>
      <c r="C73" s="212">
        <v>0.2</v>
      </c>
      <c r="D73" s="213">
        <v>3.5</v>
      </c>
      <c r="E73" s="213">
        <v>1</v>
      </c>
      <c r="F73" s="214">
        <f t="shared" si="15"/>
        <v>0.10349999999999999</v>
      </c>
      <c r="G73" s="431"/>
      <c r="H73" s="431"/>
      <c r="I73" s="215">
        <f t="shared" si="16"/>
        <v>2.4500000000000002</v>
      </c>
      <c r="M73" s="89"/>
      <c r="N73" s="89"/>
    </row>
    <row r="74" spans="1:14" s="90" customFormat="1" ht="15.75" customHeight="1" x14ac:dyDescent="0.3">
      <c r="A74" s="211" t="s">
        <v>447</v>
      </c>
      <c r="B74" s="212">
        <v>0.2</v>
      </c>
      <c r="C74" s="212">
        <v>0.15</v>
      </c>
      <c r="D74" s="213">
        <v>3.5</v>
      </c>
      <c r="E74" s="213">
        <v>1</v>
      </c>
      <c r="F74" s="214">
        <f t="shared" si="15"/>
        <v>0.10349999999999999</v>
      </c>
      <c r="G74" s="431"/>
      <c r="H74" s="431"/>
      <c r="I74" s="215">
        <f t="shared" si="16"/>
        <v>2.4500000000000002</v>
      </c>
      <c r="M74" s="89"/>
      <c r="N74" s="89"/>
    </row>
    <row r="75" spans="1:14" s="90" customFormat="1" ht="15.75" customHeight="1" x14ac:dyDescent="0.3">
      <c r="A75" s="211" t="s">
        <v>448</v>
      </c>
      <c r="B75" s="212">
        <v>0.15</v>
      </c>
      <c r="C75" s="212">
        <v>0.2</v>
      </c>
      <c r="D75" s="213">
        <v>3.5</v>
      </c>
      <c r="E75" s="213">
        <v>2</v>
      </c>
      <c r="F75" s="214">
        <f t="shared" si="15"/>
        <v>0.20699999999999999</v>
      </c>
      <c r="G75" s="431"/>
      <c r="H75" s="431"/>
      <c r="I75" s="215">
        <f t="shared" si="16"/>
        <v>4.9000000000000004</v>
      </c>
      <c r="M75" s="89"/>
      <c r="N75" s="89"/>
    </row>
    <row r="76" spans="1:14" s="90" customFormat="1" ht="15.75" customHeight="1" x14ac:dyDescent="0.3">
      <c r="A76" s="211" t="s">
        <v>449</v>
      </c>
      <c r="B76" s="212">
        <v>0.2</v>
      </c>
      <c r="C76" s="212">
        <v>0.15</v>
      </c>
      <c r="D76" s="213">
        <v>3.5</v>
      </c>
      <c r="E76" s="213">
        <v>2</v>
      </c>
      <c r="F76" s="214">
        <f t="shared" si="15"/>
        <v>0.20699999999999999</v>
      </c>
      <c r="G76" s="431"/>
      <c r="H76" s="431"/>
      <c r="I76" s="215">
        <f t="shared" si="16"/>
        <v>4.9000000000000004</v>
      </c>
      <c r="M76" s="89"/>
      <c r="N76" s="89"/>
    </row>
    <row r="77" spans="1:14" s="90" customFormat="1" ht="15.75" customHeight="1" x14ac:dyDescent="0.3">
      <c r="A77" s="211" t="s">
        <v>450</v>
      </c>
      <c r="B77" s="212">
        <v>0.15</v>
      </c>
      <c r="C77" s="212">
        <v>0.2</v>
      </c>
      <c r="D77" s="213">
        <v>3.5</v>
      </c>
      <c r="E77" s="213">
        <v>1</v>
      </c>
      <c r="F77" s="214">
        <f t="shared" si="15"/>
        <v>0.10349999999999999</v>
      </c>
      <c r="G77" s="431"/>
      <c r="H77" s="431"/>
      <c r="I77" s="215">
        <f t="shared" si="16"/>
        <v>2.4500000000000002</v>
      </c>
      <c r="M77" s="89"/>
      <c r="N77" s="89"/>
    </row>
    <row r="78" spans="1:14" s="90" customFormat="1" ht="15.75" customHeight="1" x14ac:dyDescent="0.3">
      <c r="A78" s="211" t="s">
        <v>451</v>
      </c>
      <c r="B78" s="212">
        <v>0.2</v>
      </c>
      <c r="C78" s="212">
        <v>0.15</v>
      </c>
      <c r="D78" s="213">
        <v>3.5</v>
      </c>
      <c r="E78" s="213">
        <v>1</v>
      </c>
      <c r="F78" s="214">
        <f t="shared" si="15"/>
        <v>0.10349999999999999</v>
      </c>
      <c r="G78" s="431"/>
      <c r="H78" s="431"/>
      <c r="I78" s="215">
        <f t="shared" si="16"/>
        <v>2.4500000000000002</v>
      </c>
      <c r="M78" s="89"/>
      <c r="N78" s="89"/>
    </row>
    <row r="79" spans="1:14" s="90" customFormat="1" ht="15.75" customHeight="1" x14ac:dyDescent="0.3">
      <c r="A79" s="211" t="s">
        <v>452</v>
      </c>
      <c r="B79" s="212">
        <v>0.15</v>
      </c>
      <c r="C79" s="212">
        <v>0.2</v>
      </c>
      <c r="D79" s="213">
        <v>3.5</v>
      </c>
      <c r="E79" s="213">
        <v>1</v>
      </c>
      <c r="F79" s="214">
        <f t="shared" si="15"/>
        <v>0.10349999999999999</v>
      </c>
      <c r="G79" s="431"/>
      <c r="H79" s="431"/>
      <c r="I79" s="215">
        <f t="shared" si="16"/>
        <v>2.4500000000000002</v>
      </c>
      <c r="M79" s="89"/>
      <c r="N79" s="89"/>
    </row>
    <row r="80" spans="1:14" s="90" customFormat="1" ht="15.75" customHeight="1" x14ac:dyDescent="0.3">
      <c r="A80" s="211" t="s">
        <v>453</v>
      </c>
      <c r="B80" s="212">
        <v>0.2</v>
      </c>
      <c r="C80" s="212">
        <v>0.15</v>
      </c>
      <c r="D80" s="213">
        <v>3.5</v>
      </c>
      <c r="E80" s="213">
        <v>2</v>
      </c>
      <c r="F80" s="214">
        <f t="shared" si="15"/>
        <v>0.20699999999999999</v>
      </c>
      <c r="G80" s="431"/>
      <c r="H80" s="431"/>
      <c r="I80" s="215">
        <f t="shared" si="16"/>
        <v>4.9000000000000004</v>
      </c>
      <c r="M80" s="89"/>
      <c r="N80" s="89"/>
    </row>
    <row r="81" spans="1:14" s="90" customFormat="1" ht="15.75" customHeight="1" x14ac:dyDescent="0.3">
      <c r="A81" s="211" t="s">
        <v>378</v>
      </c>
      <c r="B81" s="212">
        <v>0.2</v>
      </c>
      <c r="C81" s="212">
        <v>0.15</v>
      </c>
      <c r="D81" s="213">
        <v>3.5</v>
      </c>
      <c r="E81" s="213">
        <v>1</v>
      </c>
      <c r="F81" s="214">
        <f t="shared" si="15"/>
        <v>0.10349999999999999</v>
      </c>
      <c r="G81" s="431"/>
      <c r="H81" s="431"/>
      <c r="I81" s="215">
        <f t="shared" si="16"/>
        <v>2.4500000000000002</v>
      </c>
      <c r="M81" s="89"/>
      <c r="N81" s="89"/>
    </row>
    <row r="82" spans="1:14" s="90" customFormat="1" ht="15.75" customHeight="1" x14ac:dyDescent="0.3">
      <c r="A82" s="211" t="s">
        <v>379</v>
      </c>
      <c r="B82" s="212">
        <v>0.2</v>
      </c>
      <c r="C82" s="212">
        <v>0.15</v>
      </c>
      <c r="D82" s="213">
        <v>3.5</v>
      </c>
      <c r="E82" s="213">
        <v>1</v>
      </c>
      <c r="F82" s="214">
        <f t="shared" si="15"/>
        <v>0.10349999999999999</v>
      </c>
      <c r="G82" s="431"/>
      <c r="H82" s="431"/>
      <c r="I82" s="215">
        <f t="shared" si="16"/>
        <v>2.4500000000000002</v>
      </c>
      <c r="M82" s="89"/>
      <c r="N82" s="89"/>
    </row>
    <row r="83" spans="1:14" s="90" customFormat="1" ht="15.75" customHeight="1" x14ac:dyDescent="0.3">
      <c r="A83" s="211" t="s">
        <v>454</v>
      </c>
      <c r="B83" s="212">
        <v>0.2</v>
      </c>
      <c r="C83" s="212">
        <v>0.15</v>
      </c>
      <c r="D83" s="213">
        <v>3.5</v>
      </c>
      <c r="E83" s="213">
        <v>1</v>
      </c>
      <c r="F83" s="214">
        <f t="shared" si="15"/>
        <v>0.10349999999999999</v>
      </c>
      <c r="G83" s="431"/>
      <c r="H83" s="431"/>
      <c r="I83" s="215">
        <f t="shared" si="16"/>
        <v>2.4500000000000002</v>
      </c>
      <c r="M83" s="89"/>
      <c r="N83" s="89"/>
    </row>
    <row r="84" spans="1:14" s="90" customFormat="1" ht="15.75" customHeight="1" x14ac:dyDescent="0.3">
      <c r="A84" s="211" t="s">
        <v>455</v>
      </c>
      <c r="B84" s="212">
        <v>0.15</v>
      </c>
      <c r="C84" s="212">
        <v>0.2</v>
      </c>
      <c r="D84" s="213">
        <v>3.5</v>
      </c>
      <c r="E84" s="213">
        <v>1</v>
      </c>
      <c r="F84" s="214">
        <f t="shared" si="15"/>
        <v>0.10349999999999999</v>
      </c>
      <c r="G84" s="431"/>
      <c r="H84" s="431"/>
      <c r="I84" s="215">
        <f t="shared" si="16"/>
        <v>2.4500000000000002</v>
      </c>
      <c r="M84" s="89"/>
      <c r="N84" s="89"/>
    </row>
    <row r="85" spans="1:14" s="90" customFormat="1" ht="15.75" customHeight="1" x14ac:dyDescent="0.3">
      <c r="A85" s="211" t="s">
        <v>456</v>
      </c>
      <c r="B85" s="212">
        <v>0.2</v>
      </c>
      <c r="C85" s="212">
        <v>0.15</v>
      </c>
      <c r="D85" s="213">
        <v>3.5</v>
      </c>
      <c r="E85" s="213">
        <v>2</v>
      </c>
      <c r="F85" s="214">
        <f t="shared" si="15"/>
        <v>0.20699999999999999</v>
      </c>
      <c r="G85" s="431"/>
      <c r="H85" s="431"/>
      <c r="I85" s="215">
        <f t="shared" si="16"/>
        <v>4.9000000000000004</v>
      </c>
      <c r="M85" s="89"/>
      <c r="N85" s="89"/>
    </row>
    <row r="86" spans="1:14" s="90" customFormat="1" ht="15.75" customHeight="1" thickBot="1" x14ac:dyDescent="0.35">
      <c r="A86" s="211" t="s">
        <v>457</v>
      </c>
      <c r="B86" s="212">
        <v>0.15</v>
      </c>
      <c r="C86" s="212">
        <v>0.2</v>
      </c>
      <c r="D86" s="213">
        <v>3.5</v>
      </c>
      <c r="E86" s="213">
        <v>1</v>
      </c>
      <c r="F86" s="214">
        <f t="shared" si="15"/>
        <v>0.10349999999999999</v>
      </c>
      <c r="G86" s="431"/>
      <c r="H86" s="431"/>
      <c r="I86" s="215">
        <f t="shared" si="16"/>
        <v>2.4500000000000002</v>
      </c>
      <c r="M86" s="89"/>
      <c r="N86" s="89"/>
    </row>
    <row r="87" spans="1:14" s="90" customFormat="1" ht="18" customHeight="1" thickBot="1" x14ac:dyDescent="0.35">
      <c r="A87" s="231"/>
      <c r="B87" s="232"/>
      <c r="C87" s="232" t="s">
        <v>381</v>
      </c>
      <c r="D87" s="232"/>
      <c r="E87" s="233"/>
      <c r="F87" s="216">
        <f>SUM(F62:F86)</f>
        <v>3.7259999999999982</v>
      </c>
      <c r="G87" s="216">
        <v>147</v>
      </c>
      <c r="H87" s="216">
        <v>552</v>
      </c>
      <c r="I87" s="216">
        <f>SUM(I62:I86)</f>
        <v>88.200000000000045</v>
      </c>
      <c r="M87" s="89"/>
      <c r="N87" s="89"/>
    </row>
    <row r="88" spans="1:14" s="90" customFormat="1" ht="15.75" customHeight="1" thickBot="1" x14ac:dyDescent="0.35">
      <c r="A88" s="185"/>
      <c r="B88" s="185"/>
      <c r="C88" s="185"/>
      <c r="D88" s="185"/>
      <c r="E88" s="88"/>
      <c r="F88" s="88"/>
      <c r="G88" s="88"/>
      <c r="H88" s="88"/>
      <c r="I88" s="88"/>
      <c r="J88" s="89"/>
      <c r="K88" s="89"/>
      <c r="L88" s="89"/>
      <c r="M88" s="89"/>
      <c r="N88" s="89"/>
    </row>
    <row r="89" spans="1:14" s="90" customFormat="1" ht="18" customHeight="1" thickBot="1" x14ac:dyDescent="0.35">
      <c r="A89" s="419" t="s">
        <v>458</v>
      </c>
      <c r="B89" s="420"/>
      <c r="C89" s="420"/>
      <c r="D89" s="421"/>
      <c r="E89" s="210"/>
      <c r="F89" s="210"/>
      <c r="G89" s="210"/>
      <c r="H89" s="210"/>
      <c r="I89" s="210"/>
      <c r="J89" s="82"/>
      <c r="K89" s="424" t="s">
        <v>497</v>
      </c>
      <c r="L89" s="425"/>
      <c r="M89" s="426"/>
      <c r="N89" s="89"/>
    </row>
    <row r="90" spans="1:14" s="90" customFormat="1" ht="60" customHeight="1" x14ac:dyDescent="0.3">
      <c r="A90" s="220" t="s">
        <v>7</v>
      </c>
      <c r="B90" s="221" t="s">
        <v>366</v>
      </c>
      <c r="C90" s="222" t="s">
        <v>367</v>
      </c>
      <c r="D90" s="222" t="s">
        <v>368</v>
      </c>
      <c r="E90" s="222" t="s">
        <v>9</v>
      </c>
      <c r="F90" s="223" t="s">
        <v>429</v>
      </c>
      <c r="G90" s="224" t="s">
        <v>423</v>
      </c>
      <c r="H90" s="224" t="s">
        <v>424</v>
      </c>
      <c r="I90" s="225" t="s">
        <v>371</v>
      </c>
      <c r="K90" s="268" t="s">
        <v>498</v>
      </c>
      <c r="L90" s="250" t="s">
        <v>499</v>
      </c>
      <c r="M90" s="251" t="s">
        <v>371</v>
      </c>
      <c r="N90" s="89"/>
    </row>
    <row r="91" spans="1:14" s="239" customFormat="1" ht="15.75" customHeight="1" thickBot="1" x14ac:dyDescent="0.35">
      <c r="A91" s="237" t="s">
        <v>459</v>
      </c>
      <c r="B91" s="212">
        <v>0.15</v>
      </c>
      <c r="C91" s="212">
        <v>12.18</v>
      </c>
      <c r="D91" s="213">
        <v>0.35</v>
      </c>
      <c r="E91" s="213">
        <v>1</v>
      </c>
      <c r="F91" s="214">
        <f t="shared" ref="F91:F123" si="17">B91*C91*(D91)*E91</f>
        <v>0.63944999999999996</v>
      </c>
      <c r="G91" s="432" t="s">
        <v>493</v>
      </c>
      <c r="H91" s="432" t="s">
        <v>494</v>
      </c>
      <c r="I91" s="215">
        <f>(C91*D91*E91*2)+(C91*B91*E91)</f>
        <v>10.353</v>
      </c>
      <c r="K91" s="269">
        <f>F124+F87</f>
        <v>9.7320499999999974</v>
      </c>
      <c r="L91" s="255">
        <f>G124+H124+H87+G87</f>
        <v>1857</v>
      </c>
      <c r="M91" s="256">
        <f>I124+I87</f>
        <v>197.36800000000005</v>
      </c>
      <c r="N91" s="238"/>
    </row>
    <row r="92" spans="1:14" s="239" customFormat="1" ht="15.75" customHeight="1" x14ac:dyDescent="0.3">
      <c r="A92" s="237" t="s">
        <v>460</v>
      </c>
      <c r="B92" s="212">
        <v>0.1</v>
      </c>
      <c r="C92" s="212">
        <v>4.87</v>
      </c>
      <c r="D92" s="213">
        <v>0.25</v>
      </c>
      <c r="E92" s="213">
        <v>1</v>
      </c>
      <c r="F92" s="214">
        <f t="shared" si="17"/>
        <v>0.12175000000000001</v>
      </c>
      <c r="G92" s="433"/>
      <c r="H92" s="433"/>
      <c r="I92" s="215">
        <f t="shared" ref="I92:I123" si="18">(C92*D92*E92*2)+(C92*B92*E92)</f>
        <v>2.9220000000000002</v>
      </c>
      <c r="M92" s="238"/>
      <c r="N92" s="238"/>
    </row>
    <row r="93" spans="1:14" s="239" customFormat="1" ht="15.75" customHeight="1" x14ac:dyDescent="0.3">
      <c r="A93" s="237" t="s">
        <v>461</v>
      </c>
      <c r="B93" s="212">
        <v>0.1</v>
      </c>
      <c r="C93" s="212">
        <v>4.87</v>
      </c>
      <c r="D93" s="213">
        <v>0.25</v>
      </c>
      <c r="E93" s="213">
        <v>1</v>
      </c>
      <c r="F93" s="214">
        <f t="shared" si="17"/>
        <v>0.12175000000000001</v>
      </c>
      <c r="G93" s="433"/>
      <c r="H93" s="433"/>
      <c r="I93" s="215">
        <f t="shared" si="18"/>
        <v>2.9220000000000002</v>
      </c>
      <c r="M93" s="238"/>
      <c r="N93" s="238"/>
    </row>
    <row r="94" spans="1:14" s="239" customFormat="1" ht="15.75" customHeight="1" x14ac:dyDescent="0.3">
      <c r="A94" s="237" t="s">
        <v>462</v>
      </c>
      <c r="B94" s="212">
        <v>0.2</v>
      </c>
      <c r="C94" s="212">
        <v>7.22</v>
      </c>
      <c r="D94" s="213">
        <v>0.4</v>
      </c>
      <c r="E94" s="213">
        <v>1</v>
      </c>
      <c r="F94" s="214">
        <f t="shared" si="17"/>
        <v>0.5776</v>
      </c>
      <c r="G94" s="433"/>
      <c r="H94" s="433"/>
      <c r="I94" s="215">
        <f t="shared" si="18"/>
        <v>7.22</v>
      </c>
      <c r="M94" s="238"/>
      <c r="N94" s="238"/>
    </row>
    <row r="95" spans="1:14" s="239" customFormat="1" ht="15.75" customHeight="1" x14ac:dyDescent="0.3">
      <c r="A95" s="237" t="s">
        <v>463</v>
      </c>
      <c r="B95" s="212">
        <v>0.1</v>
      </c>
      <c r="C95" s="212">
        <v>4.87</v>
      </c>
      <c r="D95" s="213">
        <v>0.25</v>
      </c>
      <c r="E95" s="213">
        <v>1</v>
      </c>
      <c r="F95" s="214">
        <f t="shared" si="17"/>
        <v>0.12175000000000001</v>
      </c>
      <c r="G95" s="433"/>
      <c r="H95" s="433"/>
      <c r="I95" s="215">
        <f t="shared" si="18"/>
        <v>2.9220000000000002</v>
      </c>
      <c r="M95" s="238"/>
      <c r="N95" s="238"/>
    </row>
    <row r="96" spans="1:14" s="239" customFormat="1" ht="15.75" customHeight="1" x14ac:dyDescent="0.3">
      <c r="A96" s="237" t="s">
        <v>464</v>
      </c>
      <c r="B96" s="212">
        <v>0.1</v>
      </c>
      <c r="C96" s="212">
        <v>3.76</v>
      </c>
      <c r="D96" s="213">
        <v>0.25</v>
      </c>
      <c r="E96" s="213">
        <v>1</v>
      </c>
      <c r="F96" s="214">
        <f t="shared" si="17"/>
        <v>9.4E-2</v>
      </c>
      <c r="G96" s="433"/>
      <c r="H96" s="433"/>
      <c r="I96" s="215">
        <f t="shared" si="18"/>
        <v>2.2559999999999998</v>
      </c>
      <c r="M96" s="238"/>
      <c r="N96" s="238"/>
    </row>
    <row r="97" spans="1:14" s="239" customFormat="1" ht="15.75" customHeight="1" x14ac:dyDescent="0.3">
      <c r="A97" s="237" t="s">
        <v>465</v>
      </c>
      <c r="B97" s="212">
        <v>0.15</v>
      </c>
      <c r="C97" s="212">
        <v>6.61</v>
      </c>
      <c r="D97" s="213">
        <v>0.3</v>
      </c>
      <c r="E97" s="213">
        <v>1</v>
      </c>
      <c r="F97" s="214">
        <f t="shared" si="17"/>
        <v>0.29744999999999999</v>
      </c>
      <c r="G97" s="433"/>
      <c r="H97" s="433"/>
      <c r="I97" s="215">
        <f t="shared" si="18"/>
        <v>4.9575000000000005</v>
      </c>
      <c r="M97" s="238"/>
      <c r="N97" s="238"/>
    </row>
    <row r="98" spans="1:14" s="239" customFormat="1" ht="15.75" customHeight="1" x14ac:dyDescent="0.3">
      <c r="A98" s="237" t="s">
        <v>466</v>
      </c>
      <c r="B98" s="212">
        <v>0.1</v>
      </c>
      <c r="C98" s="212">
        <v>2.92</v>
      </c>
      <c r="D98" s="213">
        <v>0.25</v>
      </c>
      <c r="E98" s="213">
        <v>1</v>
      </c>
      <c r="F98" s="214">
        <f t="shared" si="17"/>
        <v>7.2999999999999995E-2</v>
      </c>
      <c r="G98" s="433"/>
      <c r="H98" s="433"/>
      <c r="I98" s="215">
        <f t="shared" si="18"/>
        <v>1.752</v>
      </c>
      <c r="M98" s="238"/>
      <c r="N98" s="238"/>
    </row>
    <row r="99" spans="1:14" s="239" customFormat="1" ht="15.75" customHeight="1" x14ac:dyDescent="0.3">
      <c r="A99" s="237" t="s">
        <v>467</v>
      </c>
      <c r="B99" s="212">
        <v>0.1</v>
      </c>
      <c r="C99" s="212">
        <v>1.84</v>
      </c>
      <c r="D99" s="213">
        <v>0.25</v>
      </c>
      <c r="E99" s="213">
        <v>1</v>
      </c>
      <c r="F99" s="214">
        <f t="shared" si="17"/>
        <v>4.6000000000000006E-2</v>
      </c>
      <c r="G99" s="433"/>
      <c r="H99" s="433"/>
      <c r="I99" s="215">
        <f t="shared" si="18"/>
        <v>1.1040000000000001</v>
      </c>
      <c r="M99" s="238"/>
      <c r="N99" s="238"/>
    </row>
    <row r="100" spans="1:14" s="239" customFormat="1" ht="15.75" customHeight="1" x14ac:dyDescent="0.3">
      <c r="A100" s="237" t="s">
        <v>468</v>
      </c>
      <c r="B100" s="212">
        <v>0.1</v>
      </c>
      <c r="C100" s="212">
        <v>2.0499999999999998</v>
      </c>
      <c r="D100" s="213">
        <v>0.25</v>
      </c>
      <c r="E100" s="213">
        <v>1</v>
      </c>
      <c r="F100" s="214">
        <f t="shared" si="17"/>
        <v>5.1249999999999997E-2</v>
      </c>
      <c r="G100" s="433"/>
      <c r="H100" s="433"/>
      <c r="I100" s="215">
        <f t="shared" si="18"/>
        <v>1.23</v>
      </c>
      <c r="M100" s="238"/>
      <c r="N100" s="238"/>
    </row>
    <row r="101" spans="1:14" s="239" customFormat="1" ht="15.75" customHeight="1" x14ac:dyDescent="0.3">
      <c r="A101" s="237" t="s">
        <v>469</v>
      </c>
      <c r="B101" s="212">
        <v>0.15</v>
      </c>
      <c r="C101" s="212">
        <v>4.2</v>
      </c>
      <c r="D101" s="213">
        <v>0.35</v>
      </c>
      <c r="E101" s="213">
        <v>1</v>
      </c>
      <c r="F101" s="214">
        <f t="shared" si="17"/>
        <v>0.22049999999999997</v>
      </c>
      <c r="G101" s="433"/>
      <c r="H101" s="433"/>
      <c r="I101" s="215">
        <f t="shared" si="18"/>
        <v>3.57</v>
      </c>
      <c r="M101" s="238"/>
      <c r="N101" s="238"/>
    </row>
    <row r="102" spans="1:14" s="239" customFormat="1" ht="15.75" customHeight="1" x14ac:dyDescent="0.3">
      <c r="A102" s="237" t="s">
        <v>470</v>
      </c>
      <c r="B102" s="212">
        <v>0.1</v>
      </c>
      <c r="C102" s="212">
        <v>2.0499999999999998</v>
      </c>
      <c r="D102" s="213">
        <v>0.25</v>
      </c>
      <c r="E102" s="213">
        <v>1</v>
      </c>
      <c r="F102" s="214">
        <f t="shared" si="17"/>
        <v>5.1249999999999997E-2</v>
      </c>
      <c r="G102" s="433"/>
      <c r="H102" s="433"/>
      <c r="I102" s="215">
        <f t="shared" si="18"/>
        <v>1.23</v>
      </c>
      <c r="M102" s="238"/>
      <c r="N102" s="238"/>
    </row>
    <row r="103" spans="1:14" s="239" customFormat="1" ht="15.75" customHeight="1" x14ac:dyDescent="0.3">
      <c r="A103" s="237" t="s">
        <v>471</v>
      </c>
      <c r="B103" s="212">
        <v>0.1</v>
      </c>
      <c r="C103" s="212">
        <v>2.81</v>
      </c>
      <c r="D103" s="213">
        <v>0.25</v>
      </c>
      <c r="E103" s="213">
        <v>1</v>
      </c>
      <c r="F103" s="214">
        <f t="shared" si="17"/>
        <v>7.0250000000000007E-2</v>
      </c>
      <c r="G103" s="433"/>
      <c r="H103" s="433"/>
      <c r="I103" s="215">
        <f t="shared" si="18"/>
        <v>1.6859999999999999</v>
      </c>
      <c r="M103" s="238"/>
      <c r="N103" s="238"/>
    </row>
    <row r="104" spans="1:14" s="239" customFormat="1" ht="15" customHeight="1" x14ac:dyDescent="0.3">
      <c r="A104" s="237" t="s">
        <v>472</v>
      </c>
      <c r="B104" s="212">
        <v>0.15</v>
      </c>
      <c r="C104" s="212">
        <v>5.27</v>
      </c>
      <c r="D104" s="213">
        <v>0.4</v>
      </c>
      <c r="E104" s="213">
        <v>1</v>
      </c>
      <c r="F104" s="214">
        <f t="shared" si="17"/>
        <v>0.31619999999999998</v>
      </c>
      <c r="G104" s="433"/>
      <c r="H104" s="433"/>
      <c r="I104" s="215">
        <f t="shared" si="18"/>
        <v>5.0065</v>
      </c>
      <c r="M104" s="238"/>
      <c r="N104" s="238"/>
    </row>
    <row r="105" spans="1:14" s="239" customFormat="1" ht="15.75" customHeight="1" x14ac:dyDescent="0.3">
      <c r="A105" s="237" t="s">
        <v>473</v>
      </c>
      <c r="B105" s="212">
        <v>0.15</v>
      </c>
      <c r="C105" s="212">
        <v>3.55</v>
      </c>
      <c r="D105" s="213">
        <v>0.3</v>
      </c>
      <c r="E105" s="213">
        <v>1</v>
      </c>
      <c r="F105" s="214">
        <f t="shared" si="17"/>
        <v>0.15974999999999998</v>
      </c>
      <c r="G105" s="433"/>
      <c r="H105" s="433"/>
      <c r="I105" s="215">
        <f t="shared" si="18"/>
        <v>2.6624999999999996</v>
      </c>
      <c r="M105" s="238"/>
      <c r="N105" s="238"/>
    </row>
    <row r="106" spans="1:14" s="239" customFormat="1" ht="15.75" customHeight="1" x14ac:dyDescent="0.3">
      <c r="A106" s="237" t="s">
        <v>474</v>
      </c>
      <c r="B106" s="212">
        <v>0.1</v>
      </c>
      <c r="C106" s="212">
        <v>2.99</v>
      </c>
      <c r="D106" s="213">
        <v>0.25</v>
      </c>
      <c r="E106" s="213">
        <v>1</v>
      </c>
      <c r="F106" s="214">
        <f t="shared" si="17"/>
        <v>7.4750000000000011E-2</v>
      </c>
      <c r="G106" s="433"/>
      <c r="H106" s="433"/>
      <c r="I106" s="215">
        <f t="shared" si="18"/>
        <v>1.794</v>
      </c>
      <c r="M106" s="238"/>
      <c r="N106" s="238"/>
    </row>
    <row r="107" spans="1:14" s="239" customFormat="1" ht="15.75" customHeight="1" x14ac:dyDescent="0.3">
      <c r="A107" s="237" t="s">
        <v>475</v>
      </c>
      <c r="B107" s="212">
        <v>0.15</v>
      </c>
      <c r="C107" s="212">
        <v>10.68</v>
      </c>
      <c r="D107" s="213">
        <v>0.4</v>
      </c>
      <c r="E107" s="213">
        <v>1</v>
      </c>
      <c r="F107" s="214">
        <f t="shared" si="17"/>
        <v>0.64080000000000004</v>
      </c>
      <c r="G107" s="433"/>
      <c r="H107" s="433"/>
      <c r="I107" s="215">
        <f t="shared" si="18"/>
        <v>10.146000000000001</v>
      </c>
      <c r="M107" s="238"/>
      <c r="N107" s="238"/>
    </row>
    <row r="108" spans="1:14" s="239" customFormat="1" ht="15.75" customHeight="1" x14ac:dyDescent="0.3">
      <c r="A108" s="237" t="s">
        <v>476</v>
      </c>
      <c r="B108" s="212">
        <v>0.2</v>
      </c>
      <c r="C108" s="212">
        <v>0.91</v>
      </c>
      <c r="D108" s="213">
        <v>0.25</v>
      </c>
      <c r="E108" s="213">
        <v>1</v>
      </c>
      <c r="F108" s="214">
        <f t="shared" si="17"/>
        <v>4.5500000000000006E-2</v>
      </c>
      <c r="G108" s="433"/>
      <c r="H108" s="433"/>
      <c r="I108" s="215">
        <f t="shared" si="18"/>
        <v>0.63700000000000001</v>
      </c>
      <c r="M108" s="238"/>
      <c r="N108" s="238"/>
    </row>
    <row r="109" spans="1:14" s="239" customFormat="1" ht="15.75" customHeight="1" x14ac:dyDescent="0.3">
      <c r="A109" s="237" t="s">
        <v>477</v>
      </c>
      <c r="B109" s="212">
        <v>0.15</v>
      </c>
      <c r="C109" s="212">
        <v>6.67</v>
      </c>
      <c r="D109" s="213">
        <v>0.3</v>
      </c>
      <c r="E109" s="213">
        <v>1</v>
      </c>
      <c r="F109" s="214">
        <f t="shared" si="17"/>
        <v>0.30014999999999997</v>
      </c>
      <c r="G109" s="433"/>
      <c r="H109" s="433"/>
      <c r="I109" s="215">
        <f t="shared" si="18"/>
        <v>5.0024999999999995</v>
      </c>
      <c r="M109" s="238"/>
      <c r="N109" s="238"/>
    </row>
    <row r="110" spans="1:14" s="239" customFormat="1" ht="15.75" customHeight="1" x14ac:dyDescent="0.3">
      <c r="A110" s="237" t="s">
        <v>478</v>
      </c>
      <c r="B110" s="212">
        <v>0.1</v>
      </c>
      <c r="C110" s="212">
        <v>2.42</v>
      </c>
      <c r="D110" s="213">
        <v>0.25</v>
      </c>
      <c r="E110" s="213">
        <v>1</v>
      </c>
      <c r="F110" s="214">
        <f t="shared" si="17"/>
        <v>6.0499999999999998E-2</v>
      </c>
      <c r="G110" s="433"/>
      <c r="H110" s="433"/>
      <c r="I110" s="215">
        <f t="shared" si="18"/>
        <v>1.452</v>
      </c>
      <c r="M110" s="238"/>
      <c r="N110" s="238"/>
    </row>
    <row r="111" spans="1:14" s="239" customFormat="1" ht="15.75" customHeight="1" x14ac:dyDescent="0.3">
      <c r="A111" s="237" t="s">
        <v>479</v>
      </c>
      <c r="B111" s="212">
        <v>0.1</v>
      </c>
      <c r="C111" s="212">
        <v>2.08</v>
      </c>
      <c r="D111" s="213">
        <v>0.2</v>
      </c>
      <c r="E111" s="213">
        <v>1</v>
      </c>
      <c r="F111" s="214">
        <f t="shared" si="17"/>
        <v>4.1600000000000005E-2</v>
      </c>
      <c r="G111" s="433"/>
      <c r="H111" s="433"/>
      <c r="I111" s="215">
        <f t="shared" si="18"/>
        <v>1.04</v>
      </c>
      <c r="M111" s="238"/>
      <c r="N111" s="238"/>
    </row>
    <row r="112" spans="1:14" s="239" customFormat="1" ht="15.75" customHeight="1" x14ac:dyDescent="0.3">
      <c r="A112" s="237" t="s">
        <v>480</v>
      </c>
      <c r="B112" s="212">
        <v>0.1</v>
      </c>
      <c r="C112" s="212">
        <v>3.43</v>
      </c>
      <c r="D112" s="213">
        <v>0.25</v>
      </c>
      <c r="E112" s="213">
        <v>1</v>
      </c>
      <c r="F112" s="214">
        <f t="shared" si="17"/>
        <v>8.5750000000000007E-2</v>
      </c>
      <c r="G112" s="433"/>
      <c r="H112" s="433"/>
      <c r="I112" s="215">
        <f t="shared" si="18"/>
        <v>2.0580000000000003</v>
      </c>
      <c r="M112" s="238"/>
      <c r="N112" s="238"/>
    </row>
    <row r="113" spans="1:14" s="239" customFormat="1" ht="15.75" customHeight="1" x14ac:dyDescent="0.3">
      <c r="A113" s="237" t="s">
        <v>481</v>
      </c>
      <c r="B113" s="212">
        <v>0.1</v>
      </c>
      <c r="C113" s="212">
        <v>2.6</v>
      </c>
      <c r="D113" s="213">
        <v>0.25</v>
      </c>
      <c r="E113" s="213">
        <v>1</v>
      </c>
      <c r="F113" s="214">
        <f t="shared" si="17"/>
        <v>6.5000000000000002E-2</v>
      </c>
      <c r="G113" s="433"/>
      <c r="H113" s="433"/>
      <c r="I113" s="215">
        <f t="shared" si="18"/>
        <v>1.56</v>
      </c>
      <c r="M113" s="238"/>
      <c r="N113" s="238"/>
    </row>
    <row r="114" spans="1:14" s="239" customFormat="1" ht="15.75" customHeight="1" x14ac:dyDescent="0.3">
      <c r="A114" s="237" t="s">
        <v>482</v>
      </c>
      <c r="B114" s="212">
        <v>0.15</v>
      </c>
      <c r="C114" s="212">
        <v>5.16</v>
      </c>
      <c r="D114" s="213">
        <v>0.3</v>
      </c>
      <c r="E114" s="213">
        <v>1</v>
      </c>
      <c r="F114" s="214">
        <f t="shared" si="17"/>
        <v>0.23219999999999999</v>
      </c>
      <c r="G114" s="433"/>
      <c r="H114" s="433"/>
      <c r="I114" s="215">
        <f t="shared" si="18"/>
        <v>3.87</v>
      </c>
      <c r="M114" s="238"/>
      <c r="N114" s="238"/>
    </row>
    <row r="115" spans="1:14" s="239" customFormat="1" ht="15.75" customHeight="1" x14ac:dyDescent="0.3">
      <c r="A115" s="237" t="s">
        <v>483</v>
      </c>
      <c r="B115" s="212">
        <v>0.1</v>
      </c>
      <c r="C115" s="212">
        <v>7.02</v>
      </c>
      <c r="D115" s="213">
        <v>0.25</v>
      </c>
      <c r="E115" s="213">
        <v>1</v>
      </c>
      <c r="F115" s="214">
        <f t="shared" si="17"/>
        <v>0.17549999999999999</v>
      </c>
      <c r="G115" s="433"/>
      <c r="H115" s="433"/>
      <c r="I115" s="215">
        <f t="shared" si="18"/>
        <v>4.2119999999999997</v>
      </c>
      <c r="M115" s="238"/>
      <c r="N115" s="238"/>
    </row>
    <row r="116" spans="1:14" s="239" customFormat="1" ht="15.75" customHeight="1" x14ac:dyDescent="0.3">
      <c r="A116" s="237" t="s">
        <v>484</v>
      </c>
      <c r="B116" s="212">
        <v>0.1</v>
      </c>
      <c r="C116" s="212">
        <v>4.03</v>
      </c>
      <c r="D116" s="213">
        <v>0.25</v>
      </c>
      <c r="E116" s="213">
        <v>1</v>
      </c>
      <c r="F116" s="214">
        <f t="shared" si="17"/>
        <v>0.10075000000000001</v>
      </c>
      <c r="G116" s="433"/>
      <c r="H116" s="433"/>
      <c r="I116" s="215">
        <f t="shared" si="18"/>
        <v>2.4180000000000001</v>
      </c>
      <c r="M116" s="238"/>
      <c r="N116" s="238"/>
    </row>
    <row r="117" spans="1:14" s="239" customFormat="1" ht="15.75" customHeight="1" x14ac:dyDescent="0.3">
      <c r="A117" s="237" t="s">
        <v>485</v>
      </c>
      <c r="B117" s="212">
        <v>0.15</v>
      </c>
      <c r="C117" s="212">
        <v>6.24</v>
      </c>
      <c r="D117" s="213">
        <v>0.35</v>
      </c>
      <c r="E117" s="213">
        <v>1</v>
      </c>
      <c r="F117" s="214">
        <f t="shared" si="17"/>
        <v>0.32759999999999995</v>
      </c>
      <c r="G117" s="433"/>
      <c r="H117" s="433"/>
      <c r="I117" s="215">
        <f t="shared" si="18"/>
        <v>5.3039999999999994</v>
      </c>
      <c r="M117" s="238"/>
      <c r="N117" s="238"/>
    </row>
    <row r="118" spans="1:14" s="239" customFormat="1" ht="15.75" customHeight="1" x14ac:dyDescent="0.3">
      <c r="A118" s="237" t="s">
        <v>486</v>
      </c>
      <c r="B118" s="212">
        <v>0.15</v>
      </c>
      <c r="C118" s="212">
        <v>6.24</v>
      </c>
      <c r="D118" s="213">
        <v>0.25</v>
      </c>
      <c r="E118" s="213">
        <v>1</v>
      </c>
      <c r="F118" s="214">
        <f t="shared" si="17"/>
        <v>0.23399999999999999</v>
      </c>
      <c r="G118" s="433"/>
      <c r="H118" s="433"/>
      <c r="I118" s="215">
        <f t="shared" si="18"/>
        <v>4.056</v>
      </c>
      <c r="M118" s="238"/>
      <c r="N118" s="238"/>
    </row>
    <row r="119" spans="1:14" s="239" customFormat="1" ht="15.75" customHeight="1" x14ac:dyDescent="0.3">
      <c r="A119" s="237" t="s">
        <v>487</v>
      </c>
      <c r="B119" s="212">
        <v>0.1</v>
      </c>
      <c r="C119" s="212">
        <v>5.98</v>
      </c>
      <c r="D119" s="213">
        <v>0.25</v>
      </c>
      <c r="E119" s="213">
        <v>1</v>
      </c>
      <c r="F119" s="214">
        <f t="shared" si="17"/>
        <v>0.14950000000000002</v>
      </c>
      <c r="G119" s="433"/>
      <c r="H119" s="433"/>
      <c r="I119" s="215">
        <f t="shared" si="18"/>
        <v>3.5880000000000001</v>
      </c>
      <c r="M119" s="238"/>
      <c r="N119" s="238"/>
    </row>
    <row r="120" spans="1:14" s="239" customFormat="1" ht="15.75" customHeight="1" x14ac:dyDescent="0.3">
      <c r="A120" s="237" t="s">
        <v>488</v>
      </c>
      <c r="B120" s="212">
        <v>0.1</v>
      </c>
      <c r="C120" s="212">
        <v>0.9</v>
      </c>
      <c r="D120" s="213">
        <v>0.25</v>
      </c>
      <c r="E120" s="213">
        <v>1</v>
      </c>
      <c r="F120" s="214">
        <f t="shared" si="17"/>
        <v>2.2500000000000003E-2</v>
      </c>
      <c r="G120" s="433"/>
      <c r="H120" s="433"/>
      <c r="I120" s="215">
        <f t="shared" si="18"/>
        <v>0.54</v>
      </c>
      <c r="M120" s="238"/>
      <c r="N120" s="238"/>
    </row>
    <row r="121" spans="1:14" s="239" customFormat="1" ht="15.75" customHeight="1" x14ac:dyDescent="0.3">
      <c r="A121" s="237" t="s">
        <v>489</v>
      </c>
      <c r="B121" s="212">
        <v>0.1</v>
      </c>
      <c r="C121" s="212">
        <v>7.81</v>
      </c>
      <c r="D121" s="213">
        <v>0.25</v>
      </c>
      <c r="E121" s="213">
        <v>1</v>
      </c>
      <c r="F121" s="214">
        <f t="shared" si="17"/>
        <v>0.19525000000000001</v>
      </c>
      <c r="G121" s="433"/>
      <c r="H121" s="433"/>
      <c r="I121" s="215">
        <f t="shared" si="18"/>
        <v>4.6859999999999999</v>
      </c>
      <c r="M121" s="238"/>
      <c r="N121" s="238"/>
    </row>
    <row r="122" spans="1:14" s="239" customFormat="1" ht="15.75" customHeight="1" x14ac:dyDescent="0.3">
      <c r="A122" s="237" t="s">
        <v>490</v>
      </c>
      <c r="B122" s="212">
        <v>0.1</v>
      </c>
      <c r="C122" s="212">
        <v>3.65</v>
      </c>
      <c r="D122" s="213">
        <v>0.25</v>
      </c>
      <c r="E122" s="213">
        <v>1</v>
      </c>
      <c r="F122" s="214">
        <f t="shared" si="17"/>
        <v>9.1249999999999998E-2</v>
      </c>
      <c r="G122" s="433"/>
      <c r="H122" s="433"/>
      <c r="I122" s="215">
        <f t="shared" si="18"/>
        <v>2.19</v>
      </c>
      <c r="M122" s="238"/>
      <c r="N122" s="238"/>
    </row>
    <row r="123" spans="1:14" s="239" customFormat="1" ht="15.75" customHeight="1" thickBot="1" x14ac:dyDescent="0.35">
      <c r="A123" s="237" t="s">
        <v>491</v>
      </c>
      <c r="B123" s="212">
        <v>0.2</v>
      </c>
      <c r="C123" s="212">
        <v>4.03</v>
      </c>
      <c r="D123" s="213">
        <v>0.25</v>
      </c>
      <c r="E123" s="213">
        <v>1</v>
      </c>
      <c r="F123" s="214">
        <f t="shared" si="17"/>
        <v>0.20150000000000001</v>
      </c>
      <c r="G123" s="433"/>
      <c r="H123" s="433"/>
      <c r="I123" s="215">
        <f t="shared" si="18"/>
        <v>2.8210000000000002</v>
      </c>
      <c r="M123" s="238"/>
      <c r="N123" s="238"/>
    </row>
    <row r="124" spans="1:14" s="90" customFormat="1" ht="18" customHeight="1" thickBot="1" x14ac:dyDescent="0.35">
      <c r="A124" s="234"/>
      <c r="B124" s="235"/>
      <c r="C124" s="232" t="s">
        <v>381</v>
      </c>
      <c r="D124" s="235"/>
      <c r="E124" s="236"/>
      <c r="F124" s="216">
        <f>SUM(F91:F123)</f>
        <v>6.0060499999999992</v>
      </c>
      <c r="G124" s="216">
        <f>129+ 2 + 200</f>
        <v>331</v>
      </c>
      <c r="H124" s="216">
        <f>421 + 161 + 245</f>
        <v>827</v>
      </c>
      <c r="I124" s="216">
        <f>SUM(I91:I123)</f>
        <v>109.16800000000001</v>
      </c>
      <c r="M124" s="89"/>
      <c r="N124" s="89"/>
    </row>
    <row r="125" spans="1:14" s="90" customFormat="1" ht="15.75" customHeight="1" thickBot="1" x14ac:dyDescent="0.35">
      <c r="A125" s="185"/>
      <c r="B125" s="185"/>
      <c r="C125" s="185"/>
      <c r="D125" s="185"/>
      <c r="E125" s="88"/>
      <c r="F125" s="88"/>
      <c r="G125" s="88"/>
      <c r="H125" s="88"/>
      <c r="I125" s="88"/>
      <c r="J125" s="89"/>
      <c r="K125" s="89"/>
      <c r="L125" s="89"/>
      <c r="M125" s="89"/>
      <c r="N125" s="89"/>
    </row>
    <row r="126" spans="1:14" s="90" customFormat="1" ht="23.4" customHeight="1" thickBot="1" x14ac:dyDescent="0.35">
      <c r="A126" s="419" t="s">
        <v>334</v>
      </c>
      <c r="B126" s="420"/>
      <c r="C126" s="420"/>
      <c r="D126" s="421"/>
      <c r="E126" s="210"/>
      <c r="F126" s="210"/>
      <c r="G126" s="210"/>
      <c r="H126" s="210"/>
      <c r="I126" s="210"/>
      <c r="J126" s="82"/>
      <c r="K126" s="82"/>
      <c r="L126" s="89"/>
      <c r="M126" s="89"/>
      <c r="N126" s="89"/>
    </row>
    <row r="127" spans="1:14" s="93" customFormat="1" ht="39" customHeight="1" x14ac:dyDescent="0.3">
      <c r="A127" s="94" t="s">
        <v>7</v>
      </c>
      <c r="B127" s="205" t="s">
        <v>294</v>
      </c>
      <c r="C127" s="206" t="s">
        <v>295</v>
      </c>
      <c r="D127" s="205" t="s">
        <v>9</v>
      </c>
      <c r="E127" s="207" t="s">
        <v>296</v>
      </c>
      <c r="F127" s="422" t="s">
        <v>293</v>
      </c>
      <c r="G127" s="423"/>
      <c r="H127" s="206" t="s">
        <v>297</v>
      </c>
      <c r="I127" s="208" t="s">
        <v>321</v>
      </c>
      <c r="J127" s="208" t="s">
        <v>615</v>
      </c>
      <c r="K127" s="208" t="s">
        <v>320</v>
      </c>
      <c r="L127" s="280" t="s">
        <v>299</v>
      </c>
      <c r="M127" s="280" t="s">
        <v>363</v>
      </c>
      <c r="N127" s="209" t="s">
        <v>364</v>
      </c>
    </row>
    <row r="128" spans="1:14" s="93" customFormat="1" x14ac:dyDescent="0.3">
      <c r="A128" s="455" t="s">
        <v>300</v>
      </c>
      <c r="B128" s="278">
        <v>0.25</v>
      </c>
      <c r="C128" s="452">
        <v>5</v>
      </c>
      <c r="D128" s="453">
        <v>1</v>
      </c>
      <c r="E128" s="91">
        <v>4</v>
      </c>
      <c r="F128" s="91" t="s">
        <v>315</v>
      </c>
      <c r="G128" s="91">
        <v>2</v>
      </c>
      <c r="H128" s="453">
        <f>(((B128*E128)+(B129*E129)+B130+B131+(B132*E132)+B133+B134+B135+B136+(B137*E137)+B138+B139+B140+B141+B142+B143+B144)*C128*D128)-((0.7*2*G128)+(1*0.5*G129)+(1.5*1.2*G130)+(2*1.2*G131)+(2.4*2.15*G132)+(2.4*0.6*G133)+(1.5*0.5*G134)+(2*0.5*G135)+(0.9*2.1*G136))+(B146*C145*D145*E146)+(B145*C145*D145*E145)</f>
        <v>451.58800000000002</v>
      </c>
      <c r="I128" s="453">
        <f>H128</f>
        <v>451.58800000000002</v>
      </c>
      <c r="J128" s="453">
        <v>0</v>
      </c>
      <c r="K128" s="453">
        <f>H128</f>
        <v>451.58800000000002</v>
      </c>
      <c r="L128" s="453">
        <v>0</v>
      </c>
      <c r="M128" s="453">
        <f>(((B128*E128)+(B129*2)+B130+B131+(B132*E132)+B133+B134+B135+B136+(B137*E137)+B138+B139+B140+B141+B142+B143+B144)*C128*D128)-((0.7*2*G128)+(1*0.5*G129)+(1.5*1.2*G130)+(2*1.2*G131)+(2.4*2.15*G132)+(2.4*0.6*G133)+(1.5*0.5*G134)+(2*0.5*G135)+(0.9*2.1*G136))</f>
        <v>278.36</v>
      </c>
      <c r="N128" s="476">
        <f>4*B129*C128</f>
        <v>25.4</v>
      </c>
    </row>
    <row r="129" spans="1:16" s="93" customFormat="1" x14ac:dyDescent="0.3">
      <c r="A129" s="456"/>
      <c r="B129" s="278">
        <v>1.27</v>
      </c>
      <c r="C129" s="452"/>
      <c r="D129" s="454"/>
      <c r="E129" s="91">
        <v>6</v>
      </c>
      <c r="F129" s="91" t="s">
        <v>332</v>
      </c>
      <c r="G129" s="91">
        <v>3</v>
      </c>
      <c r="H129" s="454"/>
      <c r="I129" s="454"/>
      <c r="J129" s="454"/>
      <c r="K129" s="454"/>
      <c r="L129" s="454"/>
      <c r="M129" s="454"/>
      <c r="N129" s="477"/>
    </row>
    <row r="130" spans="1:16" s="93" customFormat="1" x14ac:dyDescent="0.3">
      <c r="A130" s="456"/>
      <c r="B130" s="278">
        <v>3.15</v>
      </c>
      <c r="C130" s="452"/>
      <c r="D130" s="454"/>
      <c r="E130" s="91">
        <v>1</v>
      </c>
      <c r="F130" s="91" t="s">
        <v>318</v>
      </c>
      <c r="G130" s="91">
        <v>1</v>
      </c>
      <c r="H130" s="454"/>
      <c r="I130" s="454"/>
      <c r="J130" s="454"/>
      <c r="K130" s="454"/>
      <c r="L130" s="454"/>
      <c r="M130" s="454"/>
      <c r="N130" s="477"/>
    </row>
    <row r="131" spans="1:16" s="93" customFormat="1" x14ac:dyDescent="0.3">
      <c r="A131" s="456"/>
      <c r="B131" s="278">
        <v>2.85</v>
      </c>
      <c r="C131" s="452"/>
      <c r="D131" s="454"/>
      <c r="E131" s="91">
        <v>1</v>
      </c>
      <c r="F131" s="91" t="s">
        <v>330</v>
      </c>
      <c r="G131" s="91">
        <v>1</v>
      </c>
      <c r="H131" s="454"/>
      <c r="I131" s="454"/>
      <c r="J131" s="454"/>
      <c r="K131" s="454"/>
      <c r="L131" s="454"/>
      <c r="M131" s="454"/>
      <c r="N131" s="477"/>
    </row>
    <row r="132" spans="1:16" s="93" customFormat="1" x14ac:dyDescent="0.3">
      <c r="A132" s="456"/>
      <c r="B132" s="278">
        <v>1.65</v>
      </c>
      <c r="C132" s="452"/>
      <c r="D132" s="454"/>
      <c r="E132" s="91">
        <v>2</v>
      </c>
      <c r="F132" s="91" t="s">
        <v>333</v>
      </c>
      <c r="G132" s="91">
        <v>1</v>
      </c>
      <c r="H132" s="454"/>
      <c r="I132" s="454"/>
      <c r="J132" s="454"/>
      <c r="K132" s="454"/>
      <c r="L132" s="454"/>
      <c r="M132" s="454"/>
      <c r="N132" s="477"/>
    </row>
    <row r="133" spans="1:16" s="93" customFormat="1" x14ac:dyDescent="0.3">
      <c r="A133" s="456"/>
      <c r="B133" s="278">
        <v>5</v>
      </c>
      <c r="C133" s="452"/>
      <c r="D133" s="454"/>
      <c r="E133" s="91">
        <v>1</v>
      </c>
      <c r="F133" s="91" t="s">
        <v>317</v>
      </c>
      <c r="G133" s="91">
        <v>1</v>
      </c>
      <c r="H133" s="454"/>
      <c r="I133" s="454"/>
      <c r="J133" s="454"/>
      <c r="K133" s="454"/>
      <c r="L133" s="454"/>
      <c r="M133" s="454"/>
      <c r="N133" s="477"/>
    </row>
    <row r="134" spans="1:16" s="93" customFormat="1" x14ac:dyDescent="0.3">
      <c r="A134" s="456"/>
      <c r="B134" s="278">
        <v>2.86</v>
      </c>
      <c r="C134" s="452"/>
      <c r="D134" s="454"/>
      <c r="E134" s="91">
        <v>1</v>
      </c>
      <c r="F134" s="91" t="s">
        <v>322</v>
      </c>
      <c r="G134" s="91">
        <v>6</v>
      </c>
      <c r="H134" s="454"/>
      <c r="I134" s="454"/>
      <c r="J134" s="454"/>
      <c r="K134" s="454"/>
      <c r="L134" s="454"/>
      <c r="M134" s="454"/>
      <c r="N134" s="477"/>
    </row>
    <row r="135" spans="1:16" s="93" customFormat="1" x14ac:dyDescent="0.3">
      <c r="A135" s="456"/>
      <c r="B135" s="278">
        <v>2.64</v>
      </c>
      <c r="C135" s="452"/>
      <c r="D135" s="454"/>
      <c r="E135" s="91">
        <v>1</v>
      </c>
      <c r="F135" s="91" t="s">
        <v>323</v>
      </c>
      <c r="G135" s="91">
        <v>3</v>
      </c>
      <c r="H135" s="454"/>
      <c r="I135" s="454"/>
      <c r="J135" s="454"/>
      <c r="K135" s="454"/>
      <c r="L135" s="454"/>
      <c r="M135" s="454"/>
      <c r="N135" s="477"/>
    </row>
    <row r="136" spans="1:16" s="93" customFormat="1" x14ac:dyDescent="0.3">
      <c r="A136" s="456"/>
      <c r="B136" s="278">
        <v>4.0999999999999996</v>
      </c>
      <c r="C136" s="452"/>
      <c r="D136" s="454"/>
      <c r="E136" s="91">
        <v>1</v>
      </c>
      <c r="F136" s="91" t="s">
        <v>314</v>
      </c>
      <c r="G136" s="91">
        <v>1</v>
      </c>
      <c r="H136" s="454"/>
      <c r="I136" s="454"/>
      <c r="J136" s="454"/>
      <c r="K136" s="454"/>
      <c r="L136" s="454"/>
      <c r="M136" s="454"/>
      <c r="N136" s="477"/>
    </row>
    <row r="137" spans="1:16" s="93" customFormat="1" x14ac:dyDescent="0.3">
      <c r="A137" s="456"/>
      <c r="B137" s="278">
        <v>1.45</v>
      </c>
      <c r="C137" s="452"/>
      <c r="D137" s="454"/>
      <c r="E137" s="91">
        <v>2</v>
      </c>
      <c r="F137" s="91">
        <v>0</v>
      </c>
      <c r="G137" s="91">
        <v>0</v>
      </c>
      <c r="H137" s="454"/>
      <c r="I137" s="454"/>
      <c r="J137" s="454"/>
      <c r="K137" s="454"/>
      <c r="L137" s="454"/>
      <c r="M137" s="454"/>
      <c r="N137" s="477"/>
    </row>
    <row r="138" spans="1:16" s="93" customFormat="1" x14ac:dyDescent="0.3">
      <c r="A138" s="456"/>
      <c r="B138" s="278">
        <v>4.32</v>
      </c>
      <c r="C138" s="452"/>
      <c r="D138" s="454"/>
      <c r="E138" s="91">
        <v>1</v>
      </c>
      <c r="F138" s="91">
        <v>0</v>
      </c>
      <c r="G138" s="91">
        <v>0</v>
      </c>
      <c r="H138" s="454"/>
      <c r="I138" s="454"/>
      <c r="J138" s="454"/>
      <c r="K138" s="454"/>
      <c r="L138" s="454"/>
      <c r="M138" s="454"/>
      <c r="N138" s="477"/>
      <c r="P138" s="14"/>
    </row>
    <row r="139" spans="1:16" s="93" customFormat="1" x14ac:dyDescent="0.3">
      <c r="A139" s="456"/>
      <c r="B139" s="278">
        <v>3.17</v>
      </c>
      <c r="C139" s="452"/>
      <c r="D139" s="454"/>
      <c r="E139" s="91">
        <v>1</v>
      </c>
      <c r="F139" s="91">
        <v>0</v>
      </c>
      <c r="G139" s="91">
        <v>0</v>
      </c>
      <c r="H139" s="454"/>
      <c r="I139" s="454"/>
      <c r="J139" s="454"/>
      <c r="K139" s="454"/>
      <c r="L139" s="454"/>
      <c r="M139" s="454"/>
      <c r="N139" s="477"/>
      <c r="P139" s="14"/>
    </row>
    <row r="140" spans="1:16" s="93" customFormat="1" x14ac:dyDescent="0.3">
      <c r="A140" s="456"/>
      <c r="B140" s="278">
        <v>9.24</v>
      </c>
      <c r="C140" s="452"/>
      <c r="D140" s="454"/>
      <c r="E140" s="91">
        <v>1</v>
      </c>
      <c r="F140" s="91">
        <v>0</v>
      </c>
      <c r="G140" s="91">
        <v>0</v>
      </c>
      <c r="H140" s="454"/>
      <c r="I140" s="454"/>
      <c r="J140" s="454"/>
      <c r="K140" s="454"/>
      <c r="L140" s="454"/>
      <c r="M140" s="454"/>
      <c r="N140" s="477"/>
    </row>
    <row r="141" spans="1:16" s="93" customFormat="1" x14ac:dyDescent="0.3">
      <c r="A141" s="456"/>
      <c r="B141" s="278">
        <v>1.1000000000000001</v>
      </c>
      <c r="C141" s="452"/>
      <c r="D141" s="454"/>
      <c r="E141" s="91">
        <v>1</v>
      </c>
      <c r="F141" s="91">
        <v>0</v>
      </c>
      <c r="G141" s="91">
        <v>0</v>
      </c>
      <c r="H141" s="454"/>
      <c r="I141" s="454"/>
      <c r="J141" s="454"/>
      <c r="K141" s="454"/>
      <c r="L141" s="454"/>
      <c r="M141" s="454"/>
      <c r="N141" s="477"/>
    </row>
    <row r="142" spans="1:16" s="93" customFormat="1" x14ac:dyDescent="0.3">
      <c r="A142" s="456"/>
      <c r="B142" s="278">
        <v>4.75</v>
      </c>
      <c r="C142" s="452"/>
      <c r="D142" s="454"/>
      <c r="E142" s="91">
        <v>1</v>
      </c>
      <c r="F142" s="91">
        <v>0</v>
      </c>
      <c r="G142" s="91">
        <v>0</v>
      </c>
      <c r="H142" s="454"/>
      <c r="I142" s="454"/>
      <c r="J142" s="454"/>
      <c r="K142" s="454"/>
      <c r="L142" s="454"/>
      <c r="M142" s="454"/>
      <c r="N142" s="477"/>
    </row>
    <row r="143" spans="1:16" s="93" customFormat="1" x14ac:dyDescent="0.3">
      <c r="A143" s="456"/>
      <c r="B143" s="278">
        <f>4.25+1.5+0.95</f>
        <v>6.7</v>
      </c>
      <c r="C143" s="452"/>
      <c r="D143" s="454"/>
      <c r="E143" s="91">
        <v>1</v>
      </c>
      <c r="F143" s="91">
        <v>0</v>
      </c>
      <c r="G143" s="91">
        <v>0</v>
      </c>
      <c r="H143" s="454"/>
      <c r="I143" s="454"/>
      <c r="J143" s="454"/>
      <c r="K143" s="454"/>
      <c r="L143" s="454"/>
      <c r="M143" s="454"/>
      <c r="N143" s="477"/>
    </row>
    <row r="144" spans="1:16" s="93" customFormat="1" x14ac:dyDescent="0.3">
      <c r="A144" s="456"/>
      <c r="B144" s="278">
        <v>0.95</v>
      </c>
      <c r="C144" s="452"/>
      <c r="D144" s="454"/>
      <c r="E144" s="91">
        <v>1</v>
      </c>
      <c r="F144" s="91">
        <v>0</v>
      </c>
      <c r="G144" s="91">
        <v>0</v>
      </c>
      <c r="H144" s="454"/>
      <c r="I144" s="454"/>
      <c r="J144" s="454"/>
      <c r="K144" s="454"/>
      <c r="L144" s="454"/>
      <c r="M144" s="454"/>
      <c r="N144" s="477"/>
    </row>
    <row r="145" spans="1:14" s="93" customFormat="1" x14ac:dyDescent="0.3">
      <c r="A145" s="456"/>
      <c r="B145" s="278">
        <v>17</v>
      </c>
      <c r="C145" s="453">
        <v>1.27</v>
      </c>
      <c r="D145" s="453">
        <v>2</v>
      </c>
      <c r="E145" s="91">
        <v>2</v>
      </c>
      <c r="F145" s="91">
        <v>0</v>
      </c>
      <c r="G145" s="91">
        <v>0</v>
      </c>
      <c r="H145" s="454"/>
      <c r="I145" s="454"/>
      <c r="J145" s="454"/>
      <c r="K145" s="454"/>
      <c r="L145" s="454"/>
      <c r="M145" s="454"/>
      <c r="N145" s="477"/>
    </row>
    <row r="146" spans="1:14" s="93" customFormat="1" x14ac:dyDescent="0.3">
      <c r="A146" s="457"/>
      <c r="B146" s="278">
        <v>12.1</v>
      </c>
      <c r="C146" s="458"/>
      <c r="D146" s="458"/>
      <c r="E146" s="91">
        <v>2</v>
      </c>
      <c r="F146" s="91">
        <v>0</v>
      </c>
      <c r="G146" s="91">
        <v>0</v>
      </c>
      <c r="H146" s="458"/>
      <c r="I146" s="458"/>
      <c r="J146" s="458"/>
      <c r="K146" s="458"/>
      <c r="L146" s="458"/>
      <c r="M146" s="458"/>
      <c r="N146" s="478"/>
    </row>
    <row r="147" spans="1:14" s="93" customFormat="1" x14ac:dyDescent="0.3">
      <c r="A147" s="451" t="s">
        <v>301</v>
      </c>
      <c r="B147" s="278">
        <v>4.05</v>
      </c>
      <c r="C147" s="452">
        <v>3.5</v>
      </c>
      <c r="D147" s="452">
        <v>1</v>
      </c>
      <c r="E147" s="91">
        <v>1</v>
      </c>
      <c r="F147" s="91" t="s">
        <v>314</v>
      </c>
      <c r="G147" s="91">
        <v>1</v>
      </c>
      <c r="H147" s="452">
        <f>((B147+B148+B149+B150+B151+B152+B153)*C147*D147*E147)-((0.9*2.1*G147)+(0.7*2*G148)+(2.4*2.15*G149)+(2.4*0.6*G150))</f>
        <v>50.274999999999999</v>
      </c>
      <c r="I147" s="452">
        <f>H147</f>
        <v>50.274999999999999</v>
      </c>
      <c r="J147" s="452">
        <v>0</v>
      </c>
      <c r="K147" s="452">
        <f>I147</f>
        <v>50.274999999999999</v>
      </c>
      <c r="L147" s="452">
        <v>21.83</v>
      </c>
      <c r="M147" s="452">
        <f>((B147+B149+B150+B151+B152+B153)*C147*D147*E147)-((0.9*2.1*G147))</f>
        <v>42.174999999999997</v>
      </c>
      <c r="N147" s="507">
        <v>0</v>
      </c>
    </row>
    <row r="148" spans="1:14" s="93" customFormat="1" x14ac:dyDescent="0.3">
      <c r="A148" s="451"/>
      <c r="B148" s="278">
        <v>5</v>
      </c>
      <c r="C148" s="452"/>
      <c r="D148" s="452"/>
      <c r="E148" s="91">
        <v>1</v>
      </c>
      <c r="F148" s="91" t="s">
        <v>315</v>
      </c>
      <c r="G148" s="91">
        <v>2</v>
      </c>
      <c r="H148" s="452"/>
      <c r="I148" s="452"/>
      <c r="J148" s="452"/>
      <c r="K148" s="452"/>
      <c r="L148" s="452"/>
      <c r="M148" s="452"/>
      <c r="N148" s="507"/>
    </row>
    <row r="149" spans="1:14" s="93" customFormat="1" x14ac:dyDescent="0.3">
      <c r="A149" s="451"/>
      <c r="B149" s="278">
        <v>2.3199999999999998</v>
      </c>
      <c r="C149" s="452"/>
      <c r="D149" s="452"/>
      <c r="E149" s="91">
        <v>1</v>
      </c>
      <c r="F149" s="91" t="s">
        <v>316</v>
      </c>
      <c r="G149" s="91">
        <v>1</v>
      </c>
      <c r="H149" s="452"/>
      <c r="I149" s="452"/>
      <c r="J149" s="452"/>
      <c r="K149" s="452"/>
      <c r="L149" s="452"/>
      <c r="M149" s="452"/>
      <c r="N149" s="507"/>
    </row>
    <row r="150" spans="1:14" s="93" customFormat="1" x14ac:dyDescent="0.3">
      <c r="A150" s="451"/>
      <c r="B150" s="278">
        <v>0.28000000000000003</v>
      </c>
      <c r="C150" s="452"/>
      <c r="D150" s="452"/>
      <c r="E150" s="91">
        <v>1</v>
      </c>
      <c r="F150" s="91" t="s">
        <v>317</v>
      </c>
      <c r="G150" s="91">
        <v>1</v>
      </c>
      <c r="H150" s="452"/>
      <c r="I150" s="452"/>
      <c r="J150" s="452"/>
      <c r="K150" s="452"/>
      <c r="L150" s="452"/>
      <c r="M150" s="452"/>
      <c r="N150" s="507"/>
    </row>
    <row r="151" spans="1:14" s="93" customFormat="1" x14ac:dyDescent="0.3">
      <c r="A151" s="451"/>
      <c r="B151" s="278">
        <v>0.28999999999999998</v>
      </c>
      <c r="C151" s="452"/>
      <c r="D151" s="452"/>
      <c r="E151" s="91">
        <v>1</v>
      </c>
      <c r="F151" s="91">
        <v>0</v>
      </c>
      <c r="G151" s="91">
        <v>0</v>
      </c>
      <c r="H151" s="452"/>
      <c r="I151" s="452"/>
      <c r="J151" s="452"/>
      <c r="K151" s="452"/>
      <c r="L151" s="452"/>
      <c r="M151" s="452"/>
      <c r="N151" s="507"/>
    </row>
    <row r="152" spans="1:14" s="93" customFormat="1" x14ac:dyDescent="0.3">
      <c r="A152" s="451"/>
      <c r="B152" s="278">
        <v>0.6</v>
      </c>
      <c r="C152" s="452"/>
      <c r="D152" s="452"/>
      <c r="E152" s="91">
        <v>1</v>
      </c>
      <c r="F152" s="91">
        <v>0</v>
      </c>
      <c r="G152" s="91">
        <v>0</v>
      </c>
      <c r="H152" s="452"/>
      <c r="I152" s="452"/>
      <c r="J152" s="452"/>
      <c r="K152" s="452"/>
      <c r="L152" s="452"/>
      <c r="M152" s="452"/>
      <c r="N152" s="507"/>
    </row>
    <row r="153" spans="1:14" s="93" customFormat="1" x14ac:dyDescent="0.3">
      <c r="A153" s="451"/>
      <c r="B153" s="278">
        <f>6.35-1.3</f>
        <v>5.05</v>
      </c>
      <c r="C153" s="452"/>
      <c r="D153" s="452"/>
      <c r="E153" s="91">
        <v>1</v>
      </c>
      <c r="F153" s="91">
        <v>0</v>
      </c>
      <c r="G153" s="91">
        <v>0</v>
      </c>
      <c r="H153" s="452"/>
      <c r="I153" s="452"/>
      <c r="J153" s="452"/>
      <c r="K153" s="452"/>
      <c r="L153" s="452"/>
      <c r="M153" s="452"/>
      <c r="N153" s="508"/>
    </row>
    <row r="154" spans="1:14" s="93" customFormat="1" x14ac:dyDescent="0.3">
      <c r="A154" s="451" t="s">
        <v>303</v>
      </c>
      <c r="B154" s="278">
        <v>4</v>
      </c>
      <c r="C154" s="452">
        <v>3.5</v>
      </c>
      <c r="D154" s="452">
        <v>1</v>
      </c>
      <c r="E154" s="91">
        <v>1</v>
      </c>
      <c r="F154" s="91" t="s">
        <v>314</v>
      </c>
      <c r="G154" s="91">
        <v>1</v>
      </c>
      <c r="H154" s="452">
        <f>((B154+B155+B156+B157+B158+B159)*C154*D154*E154)-((0.9*2.1*G154)+(0.8*2.1*G155)+(1.5*1.2*G156))</f>
        <v>49.230000000000004</v>
      </c>
      <c r="I154" s="452">
        <f>H154</f>
        <v>49.230000000000004</v>
      </c>
      <c r="J154" s="452">
        <v>0</v>
      </c>
      <c r="K154" s="452">
        <f>H154</f>
        <v>49.230000000000004</v>
      </c>
      <c r="L154" s="452">
        <v>13.76</v>
      </c>
      <c r="M154" s="452">
        <f>((B154+B159)*C154*D154*E154)-((0.8*2.1*G155))</f>
        <v>22.82</v>
      </c>
      <c r="N154" s="509">
        <v>0</v>
      </c>
    </row>
    <row r="155" spans="1:14" s="93" customFormat="1" x14ac:dyDescent="0.3">
      <c r="A155" s="451"/>
      <c r="B155" s="278">
        <v>3.8</v>
      </c>
      <c r="C155" s="452"/>
      <c r="D155" s="452"/>
      <c r="E155" s="91">
        <v>1</v>
      </c>
      <c r="F155" s="91" t="s">
        <v>302</v>
      </c>
      <c r="G155" s="91">
        <v>1</v>
      </c>
      <c r="H155" s="452"/>
      <c r="I155" s="452"/>
      <c r="J155" s="452"/>
      <c r="K155" s="452"/>
      <c r="L155" s="452"/>
      <c r="M155" s="452"/>
      <c r="N155" s="507"/>
    </row>
    <row r="156" spans="1:14" s="93" customFormat="1" x14ac:dyDescent="0.3">
      <c r="A156" s="451"/>
      <c r="B156" s="278">
        <v>2.56</v>
      </c>
      <c r="C156" s="452"/>
      <c r="D156" s="452"/>
      <c r="E156" s="91">
        <v>1</v>
      </c>
      <c r="F156" s="91" t="s">
        <v>318</v>
      </c>
      <c r="G156" s="91">
        <v>1</v>
      </c>
      <c r="H156" s="452"/>
      <c r="I156" s="452"/>
      <c r="J156" s="452"/>
      <c r="K156" s="452"/>
      <c r="L156" s="452"/>
      <c r="M156" s="452"/>
      <c r="N156" s="507"/>
    </row>
    <row r="157" spans="1:14" s="93" customFormat="1" x14ac:dyDescent="0.3">
      <c r="A157" s="451"/>
      <c r="B157" s="278">
        <v>0.8</v>
      </c>
      <c r="C157" s="452"/>
      <c r="D157" s="452"/>
      <c r="E157" s="91">
        <v>1</v>
      </c>
      <c r="F157" s="91">
        <v>0</v>
      </c>
      <c r="G157" s="91">
        <v>0</v>
      </c>
      <c r="H157" s="452"/>
      <c r="I157" s="452"/>
      <c r="J157" s="452"/>
      <c r="K157" s="452"/>
      <c r="L157" s="452"/>
      <c r="M157" s="452"/>
      <c r="N157" s="507"/>
    </row>
    <row r="158" spans="1:14" s="93" customFormat="1" x14ac:dyDescent="0.3">
      <c r="A158" s="451"/>
      <c r="B158" s="278">
        <v>1.44</v>
      </c>
      <c r="C158" s="452"/>
      <c r="D158" s="452"/>
      <c r="E158" s="91">
        <v>1</v>
      </c>
      <c r="F158" s="91">
        <v>0</v>
      </c>
      <c r="G158" s="91">
        <v>0</v>
      </c>
      <c r="H158" s="452"/>
      <c r="I158" s="452"/>
      <c r="J158" s="452"/>
      <c r="K158" s="452"/>
      <c r="L158" s="452"/>
      <c r="M158" s="452"/>
      <c r="N158" s="507"/>
    </row>
    <row r="159" spans="1:14" s="93" customFormat="1" x14ac:dyDescent="0.3">
      <c r="A159" s="451"/>
      <c r="B159" s="278">
        <v>3</v>
      </c>
      <c r="C159" s="452"/>
      <c r="D159" s="452"/>
      <c r="E159" s="91">
        <v>1</v>
      </c>
      <c r="F159" s="91">
        <v>0</v>
      </c>
      <c r="G159" s="91">
        <v>0</v>
      </c>
      <c r="H159" s="452"/>
      <c r="I159" s="452"/>
      <c r="J159" s="452"/>
      <c r="K159" s="452"/>
      <c r="L159" s="452"/>
      <c r="M159" s="452"/>
      <c r="N159" s="508"/>
    </row>
    <row r="160" spans="1:14" s="93" customFormat="1" x14ac:dyDescent="0.3">
      <c r="A160" s="451" t="s">
        <v>304</v>
      </c>
      <c r="B160" s="278">
        <v>3</v>
      </c>
      <c r="C160" s="452">
        <f>3.5</f>
        <v>3.5</v>
      </c>
      <c r="D160" s="452">
        <v>1</v>
      </c>
      <c r="E160" s="91">
        <v>1</v>
      </c>
      <c r="F160" s="91" t="s">
        <v>302</v>
      </c>
      <c r="G160" s="91">
        <v>1</v>
      </c>
      <c r="H160" s="452">
        <f>((B160+B161+B162+B163)*C160*D160*E160)-((0.8*(2.1-1.6)*G160)+(1*0.5*G161))</f>
        <v>29.2</v>
      </c>
      <c r="I160" s="452">
        <f>H160</f>
        <v>29.2</v>
      </c>
      <c r="J160" s="452">
        <f>I160-K160</f>
        <v>13.76</v>
      </c>
      <c r="K160" s="452">
        <f>((B160+B161+B162+B163)*(3.5-1.6)*D160*E160)-((0.8*(2.1-1.6)*G160)+(1*0.5*G161))</f>
        <v>15.44</v>
      </c>
      <c r="L160" s="452">
        <f>B160*B162</f>
        <v>3.9000000000000004</v>
      </c>
      <c r="M160" s="452">
        <v>0</v>
      </c>
      <c r="N160" s="509">
        <v>0</v>
      </c>
    </row>
    <row r="161" spans="1:14" s="93" customFormat="1" x14ac:dyDescent="0.3">
      <c r="A161" s="451"/>
      <c r="B161" s="278">
        <v>3</v>
      </c>
      <c r="C161" s="452"/>
      <c r="D161" s="452"/>
      <c r="E161" s="91">
        <v>1</v>
      </c>
      <c r="F161" s="91" t="s">
        <v>319</v>
      </c>
      <c r="G161" s="91">
        <v>1</v>
      </c>
      <c r="H161" s="452"/>
      <c r="I161" s="452"/>
      <c r="J161" s="452"/>
      <c r="K161" s="452"/>
      <c r="L161" s="452"/>
      <c r="M161" s="452"/>
      <c r="N161" s="507"/>
    </row>
    <row r="162" spans="1:14" s="93" customFormat="1" x14ac:dyDescent="0.3">
      <c r="A162" s="451"/>
      <c r="B162" s="278">
        <v>1.3</v>
      </c>
      <c r="C162" s="452"/>
      <c r="D162" s="452"/>
      <c r="E162" s="91">
        <v>1</v>
      </c>
      <c r="F162" s="91">
        <v>0</v>
      </c>
      <c r="G162" s="91">
        <v>0</v>
      </c>
      <c r="H162" s="452"/>
      <c r="I162" s="452"/>
      <c r="J162" s="452"/>
      <c r="K162" s="452"/>
      <c r="L162" s="452"/>
      <c r="M162" s="452"/>
      <c r="N162" s="507"/>
    </row>
    <row r="163" spans="1:14" s="93" customFormat="1" x14ac:dyDescent="0.3">
      <c r="A163" s="451"/>
      <c r="B163" s="278">
        <v>1.3</v>
      </c>
      <c r="C163" s="452"/>
      <c r="D163" s="452"/>
      <c r="E163" s="91">
        <v>1</v>
      </c>
      <c r="F163" s="91">
        <v>0</v>
      </c>
      <c r="G163" s="91">
        <v>0</v>
      </c>
      <c r="H163" s="452"/>
      <c r="I163" s="452"/>
      <c r="J163" s="452"/>
      <c r="K163" s="452"/>
      <c r="L163" s="452"/>
      <c r="M163" s="452"/>
      <c r="N163" s="508"/>
    </row>
    <row r="164" spans="1:14" s="93" customFormat="1" x14ac:dyDescent="0.3">
      <c r="A164" s="451" t="s">
        <v>305</v>
      </c>
      <c r="B164" s="278">
        <v>3.05</v>
      </c>
      <c r="C164" s="452">
        <v>3.5</v>
      </c>
      <c r="D164" s="452">
        <v>1</v>
      </c>
      <c r="E164" s="91">
        <v>1</v>
      </c>
      <c r="F164" s="91" t="s">
        <v>314</v>
      </c>
      <c r="G164" s="91">
        <v>1</v>
      </c>
      <c r="H164" s="452">
        <f>((B164+B165+B166+B169+B167+B168)*C164*D164*E164)-((0.9*2.1*G164)+(0.8*2.1*G165))</f>
        <v>27.509999999999998</v>
      </c>
      <c r="I164" s="452">
        <f>H164</f>
        <v>27.509999999999998</v>
      </c>
      <c r="J164" s="452">
        <v>0</v>
      </c>
      <c r="K164" s="452">
        <f>I164</f>
        <v>27.509999999999998</v>
      </c>
      <c r="L164" s="452">
        <v>7.18</v>
      </c>
      <c r="M164" s="452">
        <v>0</v>
      </c>
      <c r="N164" s="509">
        <v>0</v>
      </c>
    </row>
    <row r="165" spans="1:14" s="93" customFormat="1" x14ac:dyDescent="0.3">
      <c r="A165" s="451"/>
      <c r="B165" s="278">
        <v>2.5499999999999998</v>
      </c>
      <c r="C165" s="452"/>
      <c r="D165" s="452"/>
      <c r="E165" s="91">
        <v>1</v>
      </c>
      <c r="F165" s="91" t="s">
        <v>302</v>
      </c>
      <c r="G165" s="91">
        <v>2</v>
      </c>
      <c r="H165" s="452"/>
      <c r="I165" s="452"/>
      <c r="J165" s="452"/>
      <c r="K165" s="452"/>
      <c r="L165" s="452"/>
      <c r="M165" s="452"/>
      <c r="N165" s="507"/>
    </row>
    <row r="166" spans="1:14" s="93" customFormat="1" x14ac:dyDescent="0.3">
      <c r="A166" s="451"/>
      <c r="B166" s="278">
        <v>2.0499999999999998</v>
      </c>
      <c r="C166" s="452"/>
      <c r="D166" s="452"/>
      <c r="E166" s="91">
        <v>1</v>
      </c>
      <c r="F166" s="91">
        <v>0</v>
      </c>
      <c r="G166" s="91">
        <v>0</v>
      </c>
      <c r="H166" s="452"/>
      <c r="I166" s="452"/>
      <c r="J166" s="452"/>
      <c r="K166" s="452"/>
      <c r="L166" s="452"/>
      <c r="M166" s="452"/>
      <c r="N166" s="507"/>
    </row>
    <row r="167" spans="1:14" s="93" customFormat="1" x14ac:dyDescent="0.3">
      <c r="A167" s="451"/>
      <c r="B167" s="278">
        <v>0.2</v>
      </c>
      <c r="C167" s="452"/>
      <c r="D167" s="452"/>
      <c r="E167" s="91">
        <v>1</v>
      </c>
      <c r="F167" s="91">
        <v>0</v>
      </c>
      <c r="G167" s="91">
        <v>0</v>
      </c>
      <c r="H167" s="452"/>
      <c r="I167" s="452"/>
      <c r="J167" s="452"/>
      <c r="K167" s="452"/>
      <c r="L167" s="452"/>
      <c r="M167" s="452"/>
      <c r="N167" s="507"/>
    </row>
    <row r="168" spans="1:14" s="93" customFormat="1" x14ac:dyDescent="0.3">
      <c r="A168" s="451"/>
      <c r="B168" s="278">
        <v>0.16</v>
      </c>
      <c r="C168" s="452"/>
      <c r="D168" s="452"/>
      <c r="E168" s="91">
        <v>1</v>
      </c>
      <c r="F168" s="91">
        <v>0</v>
      </c>
      <c r="G168" s="91">
        <v>0</v>
      </c>
      <c r="H168" s="452"/>
      <c r="I168" s="452"/>
      <c r="J168" s="452"/>
      <c r="K168" s="452"/>
      <c r="L168" s="452"/>
      <c r="M168" s="452"/>
      <c r="N168" s="507"/>
    </row>
    <row r="169" spans="1:14" s="93" customFormat="1" x14ac:dyDescent="0.3">
      <c r="A169" s="451"/>
      <c r="B169" s="278">
        <v>1.35</v>
      </c>
      <c r="C169" s="452"/>
      <c r="D169" s="452"/>
      <c r="E169" s="91">
        <v>1</v>
      </c>
      <c r="F169" s="91">
        <v>0</v>
      </c>
      <c r="G169" s="91">
        <v>0</v>
      </c>
      <c r="H169" s="452"/>
      <c r="I169" s="452"/>
      <c r="J169" s="452"/>
      <c r="K169" s="452"/>
      <c r="L169" s="452"/>
      <c r="M169" s="452"/>
      <c r="N169" s="508"/>
    </row>
    <row r="170" spans="1:14" s="93" customFormat="1" x14ac:dyDescent="0.3">
      <c r="A170" s="451" t="s">
        <v>306</v>
      </c>
      <c r="B170" s="278">
        <v>2.5499999999999998</v>
      </c>
      <c r="C170" s="452">
        <v>3.5</v>
      </c>
      <c r="D170" s="452">
        <v>1</v>
      </c>
      <c r="E170" s="91">
        <v>1</v>
      </c>
      <c r="F170" s="91" t="s">
        <v>314</v>
      </c>
      <c r="G170" s="91">
        <v>1</v>
      </c>
      <c r="H170" s="452">
        <f>((B170+B171+B172+B173)*C170*D170*E170)-((0.9*2.1*G170)+(1*0.5*G171))</f>
        <v>27.36</v>
      </c>
      <c r="I170" s="452">
        <f>H170</f>
        <v>27.36</v>
      </c>
      <c r="J170" s="452">
        <f>I170-K170</f>
        <v>14.780000000000001</v>
      </c>
      <c r="K170" s="452">
        <f>((B170+B171+B172+B173)*(3.5-1.6)*D170*E170)-((0.9*2.1*G170)+(0.8*2.1*G171))</f>
        <v>12.579999999999998</v>
      </c>
      <c r="L170" s="452">
        <v>4.34</v>
      </c>
      <c r="M170" s="452">
        <f>((B170)*C170*D170*E170)-((0.9*2.1*G170))</f>
        <v>7.0349999999999984</v>
      </c>
      <c r="N170" s="509">
        <v>0</v>
      </c>
    </row>
    <row r="171" spans="1:14" s="93" customFormat="1" x14ac:dyDescent="0.3">
      <c r="A171" s="451"/>
      <c r="B171" s="278">
        <v>2.5499999999999998</v>
      </c>
      <c r="C171" s="452"/>
      <c r="D171" s="452"/>
      <c r="E171" s="91">
        <v>1</v>
      </c>
      <c r="F171" s="91" t="s">
        <v>319</v>
      </c>
      <c r="G171" s="91">
        <v>1</v>
      </c>
      <c r="H171" s="452"/>
      <c r="I171" s="452"/>
      <c r="J171" s="452"/>
      <c r="K171" s="452"/>
      <c r="L171" s="452"/>
      <c r="M171" s="452"/>
      <c r="N171" s="507"/>
    </row>
    <row r="172" spans="1:14" s="93" customFormat="1" x14ac:dyDescent="0.3">
      <c r="A172" s="451"/>
      <c r="B172" s="278">
        <v>1.7</v>
      </c>
      <c r="C172" s="452"/>
      <c r="D172" s="452"/>
      <c r="E172" s="91">
        <v>1</v>
      </c>
      <c r="F172" s="91">
        <v>0</v>
      </c>
      <c r="G172" s="91">
        <v>0</v>
      </c>
      <c r="H172" s="452"/>
      <c r="I172" s="452"/>
      <c r="J172" s="452"/>
      <c r="K172" s="452"/>
      <c r="L172" s="452"/>
      <c r="M172" s="452"/>
      <c r="N172" s="507"/>
    </row>
    <row r="173" spans="1:14" s="93" customFormat="1" x14ac:dyDescent="0.3">
      <c r="A173" s="451"/>
      <c r="B173" s="278">
        <v>1.7</v>
      </c>
      <c r="C173" s="452"/>
      <c r="D173" s="452"/>
      <c r="E173" s="91">
        <v>1</v>
      </c>
      <c r="F173" s="91">
        <v>0</v>
      </c>
      <c r="G173" s="91">
        <v>0</v>
      </c>
      <c r="H173" s="452"/>
      <c r="I173" s="452"/>
      <c r="J173" s="452"/>
      <c r="K173" s="452"/>
      <c r="L173" s="452"/>
      <c r="M173" s="452"/>
      <c r="N173" s="508"/>
    </row>
    <row r="174" spans="1:14" s="93" customFormat="1" x14ac:dyDescent="0.3">
      <c r="A174" s="451" t="s">
        <v>307</v>
      </c>
      <c r="B174" s="278">
        <v>2.12</v>
      </c>
      <c r="C174" s="452">
        <v>3.5</v>
      </c>
      <c r="D174" s="452">
        <v>1</v>
      </c>
      <c r="E174" s="91">
        <v>1</v>
      </c>
      <c r="F174" s="91" t="s">
        <v>302</v>
      </c>
      <c r="G174" s="91">
        <v>1</v>
      </c>
      <c r="H174" s="452">
        <f>((B174+B175+B176+B177)*C174*D174*E174)-((0.8*2.1*G174)+(1.5*0.5*G175))</f>
        <v>24.66</v>
      </c>
      <c r="I174" s="452">
        <f>H174</f>
        <v>24.66</v>
      </c>
      <c r="J174" s="452">
        <f>I174-K174</f>
        <v>12.134</v>
      </c>
      <c r="K174" s="452">
        <f>((B174+B175+B176+B177)*(3.5-1.6)*D174*E174)-((0.8*2.1*G174)+(1*0.5*G175))</f>
        <v>12.526</v>
      </c>
      <c r="L174" s="452">
        <v>3.71</v>
      </c>
      <c r="M174" s="452">
        <f>((B174+B175+B176)*C174*D174*E174)-((0.8*2.1*G174)+(1.5*0.5*G175))</f>
        <v>18.535</v>
      </c>
      <c r="N174" s="509">
        <v>0</v>
      </c>
    </row>
    <row r="175" spans="1:14" s="93" customFormat="1" x14ac:dyDescent="0.3">
      <c r="A175" s="451"/>
      <c r="B175" s="278">
        <v>2.12</v>
      </c>
      <c r="C175" s="452"/>
      <c r="D175" s="452"/>
      <c r="E175" s="91">
        <v>1</v>
      </c>
      <c r="F175" s="91" t="s">
        <v>322</v>
      </c>
      <c r="G175" s="91">
        <v>1</v>
      </c>
      <c r="H175" s="452"/>
      <c r="I175" s="452"/>
      <c r="J175" s="452"/>
      <c r="K175" s="452"/>
      <c r="L175" s="452"/>
      <c r="M175" s="452"/>
      <c r="N175" s="507"/>
    </row>
    <row r="176" spans="1:14" s="93" customFormat="1" x14ac:dyDescent="0.3">
      <c r="A176" s="451"/>
      <c r="B176" s="278">
        <v>1.75</v>
      </c>
      <c r="C176" s="452"/>
      <c r="D176" s="452"/>
      <c r="E176" s="91">
        <v>1</v>
      </c>
      <c r="F176" s="91">
        <v>0</v>
      </c>
      <c r="G176" s="91">
        <v>0</v>
      </c>
      <c r="H176" s="452"/>
      <c r="I176" s="452"/>
      <c r="J176" s="452"/>
      <c r="K176" s="452"/>
      <c r="L176" s="452"/>
      <c r="M176" s="452"/>
      <c r="N176" s="507"/>
    </row>
    <row r="177" spans="1:14" s="93" customFormat="1" x14ac:dyDescent="0.3">
      <c r="A177" s="451"/>
      <c r="B177" s="278">
        <v>1.75</v>
      </c>
      <c r="C177" s="452"/>
      <c r="D177" s="452"/>
      <c r="E177" s="91">
        <v>1</v>
      </c>
      <c r="F177" s="91">
        <v>0</v>
      </c>
      <c r="G177" s="91">
        <v>0</v>
      </c>
      <c r="H177" s="452"/>
      <c r="I177" s="452"/>
      <c r="J177" s="452"/>
      <c r="K177" s="452"/>
      <c r="L177" s="452"/>
      <c r="M177" s="452"/>
      <c r="N177" s="508"/>
    </row>
    <row r="178" spans="1:14" s="93" customFormat="1" x14ac:dyDescent="0.3">
      <c r="A178" s="451" t="s">
        <v>308</v>
      </c>
      <c r="B178" s="278">
        <v>1.3</v>
      </c>
      <c r="C178" s="452">
        <v>3.5</v>
      </c>
      <c r="D178" s="452">
        <v>1</v>
      </c>
      <c r="E178" s="91">
        <v>1</v>
      </c>
      <c r="F178" s="91" t="s">
        <v>302</v>
      </c>
      <c r="G178" s="91">
        <v>1</v>
      </c>
      <c r="H178" s="452">
        <f>((B178+B179+B180+B181)*C178*D178*E178)-((0.8*2.1*G178)+(1*0.5*G179))</f>
        <v>19.73</v>
      </c>
      <c r="I178" s="452">
        <f>H178</f>
        <v>19.73</v>
      </c>
      <c r="J178" s="452">
        <f>I178-K178</f>
        <v>10.266000000000002</v>
      </c>
      <c r="K178" s="452">
        <f>((B178+B179+B180+B181)*(3.5-1.6)*D178*E178)-((0.8*2.1*G178)+(1.5*0.5*G179))</f>
        <v>9.4639999999999986</v>
      </c>
      <c r="L178" s="452">
        <v>2.38</v>
      </c>
      <c r="M178" s="452">
        <f>((B179+B180+B181)*C178*D178*E178)-((0.8*2.1*G178)+(1*0.5*G179))</f>
        <v>15.18</v>
      </c>
      <c r="N178" s="510">
        <v>0</v>
      </c>
    </row>
    <row r="179" spans="1:14" s="93" customFormat="1" x14ac:dyDescent="0.3">
      <c r="A179" s="451"/>
      <c r="B179" s="278">
        <v>1.3</v>
      </c>
      <c r="C179" s="452"/>
      <c r="D179" s="452"/>
      <c r="E179" s="91">
        <v>1</v>
      </c>
      <c r="F179" s="91" t="s">
        <v>319</v>
      </c>
      <c r="G179" s="91">
        <v>1</v>
      </c>
      <c r="H179" s="452"/>
      <c r="I179" s="452"/>
      <c r="J179" s="452"/>
      <c r="K179" s="452"/>
      <c r="L179" s="452"/>
      <c r="M179" s="452"/>
      <c r="N179" s="511"/>
    </row>
    <row r="180" spans="1:14" s="93" customFormat="1" x14ac:dyDescent="0.3">
      <c r="A180" s="451"/>
      <c r="B180" s="278">
        <v>1.83</v>
      </c>
      <c r="C180" s="452"/>
      <c r="D180" s="452"/>
      <c r="E180" s="91">
        <v>1</v>
      </c>
      <c r="F180" s="91">
        <v>0</v>
      </c>
      <c r="G180" s="91">
        <v>0</v>
      </c>
      <c r="H180" s="452"/>
      <c r="I180" s="452"/>
      <c r="J180" s="452"/>
      <c r="K180" s="452"/>
      <c r="L180" s="452"/>
      <c r="M180" s="452"/>
      <c r="N180" s="511"/>
    </row>
    <row r="181" spans="1:14" s="93" customFormat="1" x14ac:dyDescent="0.3">
      <c r="A181" s="451"/>
      <c r="B181" s="278">
        <v>1.83</v>
      </c>
      <c r="C181" s="452"/>
      <c r="D181" s="452"/>
      <c r="E181" s="91">
        <v>1</v>
      </c>
      <c r="F181" s="91">
        <v>0</v>
      </c>
      <c r="G181" s="91">
        <v>0</v>
      </c>
      <c r="H181" s="452"/>
      <c r="I181" s="452"/>
      <c r="J181" s="452"/>
      <c r="K181" s="452"/>
      <c r="L181" s="452"/>
      <c r="M181" s="452"/>
      <c r="N181" s="512"/>
    </row>
    <row r="182" spans="1:14" s="93" customFormat="1" x14ac:dyDescent="0.3">
      <c r="A182" s="451" t="s">
        <v>309</v>
      </c>
      <c r="B182" s="278">
        <v>2.93</v>
      </c>
      <c r="C182" s="452">
        <v>3.5</v>
      </c>
      <c r="D182" s="452">
        <v>1</v>
      </c>
      <c r="E182" s="91">
        <v>1</v>
      </c>
      <c r="F182" s="91" t="s">
        <v>314</v>
      </c>
      <c r="G182" s="91">
        <v>2</v>
      </c>
      <c r="H182" s="452">
        <f>((B182+B183+B190+(B184*E184)+B185+(B186*E186)+B187+(B188*E188)+B189+B191)*C182*D182*E182)-((0.9*2.1*G182)+(0.8*2.1*G183))</f>
        <v>55.405000000000001</v>
      </c>
      <c r="I182" s="452">
        <f>H182</f>
        <v>55.405000000000001</v>
      </c>
      <c r="J182" s="452">
        <v>0</v>
      </c>
      <c r="K182" s="452">
        <f>I182</f>
        <v>55.405000000000001</v>
      </c>
      <c r="L182" s="452">
        <v>19.079999999999998</v>
      </c>
      <c r="M182" s="452">
        <f>(B187+B189)*C182*D182*E182</f>
        <v>3.8500000000000005</v>
      </c>
      <c r="N182" s="510">
        <v>0</v>
      </c>
    </row>
    <row r="183" spans="1:14" s="93" customFormat="1" x14ac:dyDescent="0.3">
      <c r="A183" s="451"/>
      <c r="B183" s="278">
        <v>0.63</v>
      </c>
      <c r="C183" s="452"/>
      <c r="D183" s="452"/>
      <c r="E183" s="91">
        <v>1</v>
      </c>
      <c r="F183" s="91" t="s">
        <v>302</v>
      </c>
      <c r="G183" s="91">
        <v>4</v>
      </c>
      <c r="H183" s="452"/>
      <c r="I183" s="452"/>
      <c r="J183" s="452"/>
      <c r="K183" s="452"/>
      <c r="L183" s="452"/>
      <c r="M183" s="452"/>
      <c r="N183" s="511"/>
    </row>
    <row r="184" spans="1:14" s="93" customFormat="1" x14ac:dyDescent="0.3">
      <c r="A184" s="451"/>
      <c r="B184" s="278">
        <v>0.35</v>
      </c>
      <c r="C184" s="452"/>
      <c r="D184" s="452"/>
      <c r="E184" s="91">
        <v>2</v>
      </c>
      <c r="F184" s="91">
        <v>0</v>
      </c>
      <c r="G184" s="91">
        <v>0</v>
      </c>
      <c r="H184" s="452"/>
      <c r="I184" s="452"/>
      <c r="J184" s="452"/>
      <c r="K184" s="452"/>
      <c r="L184" s="452"/>
      <c r="M184" s="452"/>
      <c r="N184" s="511"/>
    </row>
    <row r="185" spans="1:14" s="93" customFormat="1" x14ac:dyDescent="0.3">
      <c r="A185" s="451"/>
      <c r="B185" s="278">
        <v>2.15</v>
      </c>
      <c r="C185" s="452"/>
      <c r="D185" s="452"/>
      <c r="E185" s="91">
        <v>1</v>
      </c>
      <c r="F185" s="91">
        <v>0</v>
      </c>
      <c r="G185" s="91">
        <v>0</v>
      </c>
      <c r="H185" s="452"/>
      <c r="I185" s="452"/>
      <c r="J185" s="452"/>
      <c r="K185" s="452"/>
      <c r="L185" s="452"/>
      <c r="M185" s="452"/>
      <c r="N185" s="511"/>
    </row>
    <row r="186" spans="1:14" s="93" customFormat="1" x14ac:dyDescent="0.3">
      <c r="A186" s="451"/>
      <c r="B186" s="278">
        <v>1.2</v>
      </c>
      <c r="C186" s="452"/>
      <c r="D186" s="452"/>
      <c r="E186" s="91">
        <v>4</v>
      </c>
      <c r="F186" s="91">
        <v>0</v>
      </c>
      <c r="G186" s="91">
        <v>0</v>
      </c>
      <c r="H186" s="452"/>
      <c r="I186" s="452"/>
      <c r="J186" s="452"/>
      <c r="K186" s="452"/>
      <c r="L186" s="452"/>
      <c r="M186" s="452"/>
      <c r="N186" s="511"/>
    </row>
    <row r="187" spans="1:14" s="93" customFormat="1" x14ac:dyDescent="0.3">
      <c r="A187" s="451"/>
      <c r="B187" s="278">
        <v>0.1</v>
      </c>
      <c r="C187" s="452"/>
      <c r="D187" s="452"/>
      <c r="E187" s="91">
        <v>1</v>
      </c>
      <c r="F187" s="91">
        <v>0</v>
      </c>
      <c r="G187" s="91">
        <v>0</v>
      </c>
      <c r="H187" s="452"/>
      <c r="I187" s="452"/>
      <c r="J187" s="452"/>
      <c r="K187" s="452"/>
      <c r="L187" s="452"/>
      <c r="M187" s="452"/>
      <c r="N187" s="511"/>
    </row>
    <row r="188" spans="1:14" s="93" customFormat="1" x14ac:dyDescent="0.3">
      <c r="A188" s="451"/>
      <c r="B188" s="278">
        <v>0.15</v>
      </c>
      <c r="C188" s="452"/>
      <c r="D188" s="452"/>
      <c r="E188" s="91">
        <v>2</v>
      </c>
      <c r="F188" s="91">
        <v>0</v>
      </c>
      <c r="G188" s="91">
        <v>0</v>
      </c>
      <c r="H188" s="452"/>
      <c r="I188" s="452"/>
      <c r="J188" s="452"/>
      <c r="K188" s="452"/>
      <c r="L188" s="452"/>
      <c r="M188" s="452"/>
      <c r="N188" s="511"/>
    </row>
    <row r="189" spans="1:14" s="93" customFormat="1" x14ac:dyDescent="0.3">
      <c r="A189" s="451"/>
      <c r="B189" s="278">
        <v>1</v>
      </c>
      <c r="C189" s="452"/>
      <c r="D189" s="452"/>
      <c r="E189" s="91">
        <v>1</v>
      </c>
      <c r="F189" s="91">
        <v>0</v>
      </c>
      <c r="G189" s="91">
        <v>0</v>
      </c>
      <c r="H189" s="452"/>
      <c r="I189" s="452"/>
      <c r="J189" s="452"/>
      <c r="K189" s="452"/>
      <c r="L189" s="452"/>
      <c r="M189" s="452"/>
      <c r="N189" s="511"/>
    </row>
    <row r="190" spans="1:14" s="93" customFormat="1" x14ac:dyDescent="0.3">
      <c r="A190" s="451"/>
      <c r="B190" s="278">
        <v>3.8</v>
      </c>
      <c r="C190" s="452"/>
      <c r="D190" s="452"/>
      <c r="E190" s="91">
        <v>1</v>
      </c>
      <c r="F190" s="91">
        <v>0</v>
      </c>
      <c r="G190" s="91">
        <v>0</v>
      </c>
      <c r="H190" s="452"/>
      <c r="I190" s="452"/>
      <c r="J190" s="452"/>
      <c r="K190" s="452"/>
      <c r="L190" s="452"/>
      <c r="M190" s="452"/>
      <c r="N190" s="511"/>
    </row>
    <row r="191" spans="1:14" s="93" customFormat="1" x14ac:dyDescent="0.3">
      <c r="A191" s="451"/>
      <c r="B191" s="278">
        <v>2.42</v>
      </c>
      <c r="C191" s="452"/>
      <c r="D191" s="452"/>
      <c r="E191" s="91">
        <v>1</v>
      </c>
      <c r="F191" s="91">
        <v>0</v>
      </c>
      <c r="G191" s="91">
        <v>0</v>
      </c>
      <c r="H191" s="452"/>
      <c r="I191" s="452"/>
      <c r="J191" s="452"/>
      <c r="K191" s="452"/>
      <c r="L191" s="452"/>
      <c r="M191" s="452"/>
      <c r="N191" s="512"/>
    </row>
    <row r="192" spans="1:14" s="93" customFormat="1" x14ac:dyDescent="0.3">
      <c r="A192" s="459" t="s">
        <v>310</v>
      </c>
      <c r="B192" s="278">
        <v>6.15</v>
      </c>
      <c r="C192" s="452">
        <v>3.5</v>
      </c>
      <c r="D192" s="452">
        <v>1</v>
      </c>
      <c r="E192" s="91">
        <v>1</v>
      </c>
      <c r="F192" s="91" t="s">
        <v>314</v>
      </c>
      <c r="G192" s="91">
        <v>2</v>
      </c>
      <c r="H192" s="452">
        <f>((B192+B193+B194+B195+B196+B197+B198+B199)*C192*D192*E192)-((0.9*2.1*G192)+(1.5*0.5*G193)+(2*0.5*G194))</f>
        <v>89.72</v>
      </c>
      <c r="I192" s="452">
        <f>H192</f>
        <v>89.72</v>
      </c>
      <c r="J192" s="452">
        <v>0</v>
      </c>
      <c r="K192" s="452">
        <f>I192</f>
        <v>89.72</v>
      </c>
      <c r="L192" s="452">
        <v>30.32</v>
      </c>
      <c r="M192" s="452">
        <f>((B199)*C192*D192*E192)-((0.9*2.1*1))</f>
        <v>18.934999999999999</v>
      </c>
      <c r="N192" s="509">
        <v>0</v>
      </c>
    </row>
    <row r="193" spans="1:14" s="93" customFormat="1" x14ac:dyDescent="0.3">
      <c r="A193" s="459"/>
      <c r="B193" s="278">
        <v>3.38</v>
      </c>
      <c r="C193" s="452"/>
      <c r="D193" s="452"/>
      <c r="E193" s="91">
        <v>1</v>
      </c>
      <c r="F193" s="91" t="s">
        <v>322</v>
      </c>
      <c r="G193" s="91">
        <v>2</v>
      </c>
      <c r="H193" s="452"/>
      <c r="I193" s="452"/>
      <c r="J193" s="452"/>
      <c r="K193" s="452"/>
      <c r="L193" s="452"/>
      <c r="M193" s="452"/>
      <c r="N193" s="507"/>
    </row>
    <row r="194" spans="1:14" s="93" customFormat="1" x14ac:dyDescent="0.3">
      <c r="A194" s="459"/>
      <c r="B194" s="278">
        <v>0.65</v>
      </c>
      <c r="C194" s="452"/>
      <c r="D194" s="452"/>
      <c r="E194" s="91">
        <v>1</v>
      </c>
      <c r="F194" s="91" t="s">
        <v>323</v>
      </c>
      <c r="G194" s="91">
        <v>3</v>
      </c>
      <c r="H194" s="452"/>
      <c r="I194" s="452"/>
      <c r="J194" s="452"/>
      <c r="K194" s="452"/>
      <c r="L194" s="452"/>
      <c r="M194" s="452"/>
      <c r="N194" s="507"/>
    </row>
    <row r="195" spans="1:14" s="93" customFormat="1" x14ac:dyDescent="0.3">
      <c r="A195" s="459"/>
      <c r="B195" s="278">
        <v>4.47</v>
      </c>
      <c r="C195" s="452"/>
      <c r="D195" s="452"/>
      <c r="E195" s="91">
        <v>1</v>
      </c>
      <c r="F195" s="91">
        <v>0</v>
      </c>
      <c r="G195" s="91">
        <v>0</v>
      </c>
      <c r="H195" s="452"/>
      <c r="I195" s="452"/>
      <c r="J195" s="452"/>
      <c r="K195" s="452"/>
      <c r="L195" s="452"/>
      <c r="M195" s="452"/>
      <c r="N195" s="507"/>
    </row>
    <row r="196" spans="1:14" s="93" customFormat="1" x14ac:dyDescent="0.3">
      <c r="A196" s="459"/>
      <c r="B196" s="278">
        <v>4</v>
      </c>
      <c r="C196" s="452"/>
      <c r="D196" s="452"/>
      <c r="E196" s="91">
        <v>1</v>
      </c>
      <c r="F196" s="91">
        <v>0</v>
      </c>
      <c r="G196" s="91">
        <v>0</v>
      </c>
      <c r="H196" s="452"/>
      <c r="I196" s="452"/>
      <c r="J196" s="452"/>
      <c r="K196" s="452"/>
      <c r="L196" s="452"/>
      <c r="M196" s="452"/>
      <c r="N196" s="507"/>
    </row>
    <row r="197" spans="1:14" s="93" customFormat="1" x14ac:dyDescent="0.3">
      <c r="A197" s="459"/>
      <c r="B197" s="278">
        <v>1.9</v>
      </c>
      <c r="C197" s="452"/>
      <c r="D197" s="452"/>
      <c r="E197" s="91">
        <v>1</v>
      </c>
      <c r="F197" s="91">
        <v>0</v>
      </c>
      <c r="G197" s="91">
        <v>0</v>
      </c>
      <c r="H197" s="452"/>
      <c r="I197" s="452"/>
      <c r="J197" s="452"/>
      <c r="K197" s="452"/>
      <c r="L197" s="452"/>
      <c r="M197" s="452"/>
      <c r="N197" s="507"/>
    </row>
    <row r="198" spans="1:14" s="93" customFormat="1" x14ac:dyDescent="0.3">
      <c r="A198" s="459"/>
      <c r="B198" s="278">
        <v>1.5</v>
      </c>
      <c r="C198" s="452"/>
      <c r="D198" s="452"/>
      <c r="E198" s="91">
        <v>1</v>
      </c>
      <c r="F198" s="91">
        <v>0</v>
      </c>
      <c r="G198" s="91">
        <v>0</v>
      </c>
      <c r="H198" s="452"/>
      <c r="I198" s="452"/>
      <c r="J198" s="452"/>
      <c r="K198" s="452"/>
      <c r="L198" s="452"/>
      <c r="M198" s="452"/>
      <c r="N198" s="507"/>
    </row>
    <row r="199" spans="1:14" s="93" customFormat="1" x14ac:dyDescent="0.3">
      <c r="A199" s="459"/>
      <c r="B199" s="278">
        <v>5.95</v>
      </c>
      <c r="C199" s="452"/>
      <c r="D199" s="452"/>
      <c r="E199" s="91">
        <v>1</v>
      </c>
      <c r="F199" s="91">
        <v>0</v>
      </c>
      <c r="G199" s="91">
        <v>0</v>
      </c>
      <c r="H199" s="452"/>
      <c r="I199" s="452"/>
      <c r="J199" s="452"/>
      <c r="K199" s="452"/>
      <c r="L199" s="452"/>
      <c r="M199" s="452"/>
      <c r="N199" s="508"/>
    </row>
    <row r="200" spans="1:14" s="93" customFormat="1" x14ac:dyDescent="0.3">
      <c r="A200" s="451" t="s">
        <v>324</v>
      </c>
      <c r="B200" s="278">
        <v>2.4500000000000002</v>
      </c>
      <c r="C200" s="452">
        <v>3.5</v>
      </c>
      <c r="D200" s="452">
        <v>1</v>
      </c>
      <c r="E200" s="91">
        <v>1</v>
      </c>
      <c r="F200" s="91" t="s">
        <v>302</v>
      </c>
      <c r="G200" s="91">
        <v>2</v>
      </c>
      <c r="H200" s="452">
        <f>((B200+B201+B202+B205+B203+B204)*C200*D200*E200)-((0.8*2.1*G200)+(1.5*0.5*G201)+(1*0.5*G202))</f>
        <v>34.240000000000009</v>
      </c>
      <c r="I200" s="452">
        <f>H200</f>
        <v>34.240000000000009</v>
      </c>
      <c r="J200" s="452">
        <f>I200-K200</f>
        <v>17.760000000000005</v>
      </c>
      <c r="K200" s="452">
        <f>((B200+B201+B202+B205+B203+B204)*(3.5-1.6)*D200*E200)-((0.8*2.1*G200)+(1.5*0.5*G201)+(1*0.5*G202))</f>
        <v>16.480000000000004</v>
      </c>
      <c r="L200" s="452">
        <v>7.11</v>
      </c>
      <c r="M200" s="452">
        <f>((B200+B202+B205)*C200*D200*E200)-((0.8*2.1*G200))</f>
        <v>19.739999999999998</v>
      </c>
      <c r="N200" s="510">
        <v>0</v>
      </c>
    </row>
    <row r="201" spans="1:14" s="93" customFormat="1" x14ac:dyDescent="0.3">
      <c r="A201" s="451"/>
      <c r="B201" s="278">
        <v>3.1</v>
      </c>
      <c r="C201" s="452"/>
      <c r="D201" s="452"/>
      <c r="E201" s="91">
        <v>1</v>
      </c>
      <c r="F201" s="91" t="s">
        <v>322</v>
      </c>
      <c r="G201" s="91">
        <v>1</v>
      </c>
      <c r="H201" s="452"/>
      <c r="I201" s="452"/>
      <c r="J201" s="452"/>
      <c r="K201" s="452"/>
      <c r="L201" s="452"/>
      <c r="M201" s="452"/>
      <c r="N201" s="511"/>
    </row>
    <row r="202" spans="1:14" s="93" customFormat="1" x14ac:dyDescent="0.3">
      <c r="A202" s="451"/>
      <c r="B202" s="278">
        <v>1.8</v>
      </c>
      <c r="C202" s="452"/>
      <c r="D202" s="452"/>
      <c r="E202" s="91">
        <v>1</v>
      </c>
      <c r="F202" s="91" t="s">
        <v>319</v>
      </c>
      <c r="G202" s="91">
        <v>1</v>
      </c>
      <c r="H202" s="452"/>
      <c r="I202" s="452"/>
      <c r="J202" s="452"/>
      <c r="K202" s="452"/>
      <c r="L202" s="452"/>
      <c r="M202" s="452"/>
      <c r="N202" s="511"/>
    </row>
    <row r="203" spans="1:14" s="93" customFormat="1" x14ac:dyDescent="0.3">
      <c r="A203" s="451"/>
      <c r="B203" s="278">
        <v>0.75</v>
      </c>
      <c r="C203" s="452"/>
      <c r="D203" s="452"/>
      <c r="E203" s="91">
        <v>1</v>
      </c>
      <c r="F203" s="91">
        <v>0</v>
      </c>
      <c r="G203" s="91">
        <v>0</v>
      </c>
      <c r="H203" s="452"/>
      <c r="I203" s="452"/>
      <c r="J203" s="452"/>
      <c r="K203" s="452"/>
      <c r="L203" s="452"/>
      <c r="M203" s="452"/>
      <c r="N203" s="511"/>
    </row>
    <row r="204" spans="1:14" s="93" customFormat="1" x14ac:dyDescent="0.3">
      <c r="A204" s="451"/>
      <c r="B204" s="278">
        <v>0.65</v>
      </c>
      <c r="C204" s="452"/>
      <c r="D204" s="452"/>
      <c r="E204" s="91">
        <v>1</v>
      </c>
      <c r="F204" s="91">
        <v>0</v>
      </c>
      <c r="G204" s="91">
        <v>0</v>
      </c>
      <c r="H204" s="452"/>
      <c r="I204" s="452"/>
      <c r="J204" s="452"/>
      <c r="K204" s="452"/>
      <c r="L204" s="452"/>
      <c r="M204" s="452"/>
      <c r="N204" s="511"/>
    </row>
    <row r="205" spans="1:14" s="93" customFormat="1" x14ac:dyDescent="0.3">
      <c r="A205" s="451"/>
      <c r="B205" s="278">
        <v>2.35</v>
      </c>
      <c r="C205" s="452"/>
      <c r="D205" s="452"/>
      <c r="E205" s="91">
        <v>1</v>
      </c>
      <c r="F205" s="91">
        <v>0</v>
      </c>
      <c r="G205" s="91">
        <v>0</v>
      </c>
      <c r="H205" s="452"/>
      <c r="I205" s="452"/>
      <c r="J205" s="452"/>
      <c r="K205" s="452"/>
      <c r="L205" s="452"/>
      <c r="M205" s="452"/>
      <c r="N205" s="512"/>
    </row>
    <row r="206" spans="1:14" s="93" customFormat="1" x14ac:dyDescent="0.3">
      <c r="A206" s="451" t="s">
        <v>325</v>
      </c>
      <c r="B206" s="278">
        <v>2</v>
      </c>
      <c r="C206" s="452">
        <v>3.5</v>
      </c>
      <c r="D206" s="452">
        <v>1</v>
      </c>
      <c r="E206" s="91">
        <v>1</v>
      </c>
      <c r="F206" s="91" t="s">
        <v>302</v>
      </c>
      <c r="G206" s="91">
        <v>1</v>
      </c>
      <c r="H206" s="452">
        <f>((B206+B207+B208+B209)*C206*D206*E206)-((0.8*2.1*G206)+(1*0.5*G207))</f>
        <v>18.82</v>
      </c>
      <c r="I206" s="452">
        <f>H206</f>
        <v>18.82</v>
      </c>
      <c r="J206" s="452">
        <f>I206-K206</f>
        <v>9.6000000000000014</v>
      </c>
      <c r="K206" s="452">
        <f>((B206+B207+B208+B209)*(3.5-1.6)*D206*E206)-((0.8*2.1*G206)+(1*0.5*G207))</f>
        <v>9.2199999999999989</v>
      </c>
      <c r="L206" s="452">
        <v>2</v>
      </c>
      <c r="M206" s="452">
        <f>((B206+B207+B208-(0.7+0.6))*C206*D206*E206)-((0.8*2.1*G206)+(1*0.5*G207))</f>
        <v>10.770000000000001</v>
      </c>
      <c r="N206" s="510">
        <v>0</v>
      </c>
    </row>
    <row r="207" spans="1:14" s="93" customFormat="1" x14ac:dyDescent="0.3">
      <c r="A207" s="451"/>
      <c r="B207" s="278">
        <v>2</v>
      </c>
      <c r="C207" s="452"/>
      <c r="D207" s="452"/>
      <c r="E207" s="91">
        <v>1</v>
      </c>
      <c r="F207" s="91" t="s">
        <v>319</v>
      </c>
      <c r="G207" s="91">
        <v>1</v>
      </c>
      <c r="H207" s="452"/>
      <c r="I207" s="452"/>
      <c r="J207" s="452"/>
      <c r="K207" s="452"/>
      <c r="L207" s="452"/>
      <c r="M207" s="452"/>
      <c r="N207" s="511"/>
    </row>
    <row r="208" spans="1:14" s="93" customFormat="1" x14ac:dyDescent="0.3">
      <c r="A208" s="451"/>
      <c r="B208" s="278">
        <v>1</v>
      </c>
      <c r="C208" s="452"/>
      <c r="D208" s="452"/>
      <c r="E208" s="91">
        <v>1</v>
      </c>
      <c r="F208" s="91">
        <v>0</v>
      </c>
      <c r="G208" s="91">
        <v>0</v>
      </c>
      <c r="H208" s="452"/>
      <c r="I208" s="452"/>
      <c r="J208" s="452"/>
      <c r="K208" s="452"/>
      <c r="L208" s="452"/>
      <c r="M208" s="452"/>
      <c r="N208" s="511"/>
    </row>
    <row r="209" spans="1:14" s="93" customFormat="1" x14ac:dyDescent="0.3">
      <c r="A209" s="451"/>
      <c r="B209" s="278">
        <v>1</v>
      </c>
      <c r="C209" s="452"/>
      <c r="D209" s="452"/>
      <c r="E209" s="91">
        <v>1</v>
      </c>
      <c r="F209" s="91">
        <v>0</v>
      </c>
      <c r="G209" s="91">
        <v>0</v>
      </c>
      <c r="H209" s="452"/>
      <c r="I209" s="452"/>
      <c r="J209" s="452"/>
      <c r="K209" s="452"/>
      <c r="L209" s="452"/>
      <c r="M209" s="452"/>
      <c r="N209" s="512"/>
    </row>
    <row r="210" spans="1:14" s="93" customFormat="1" x14ac:dyDescent="0.3">
      <c r="A210" s="451" t="s">
        <v>326</v>
      </c>
      <c r="B210" s="278">
        <v>2.21</v>
      </c>
      <c r="C210" s="452">
        <v>3.5</v>
      </c>
      <c r="D210" s="452">
        <v>1</v>
      </c>
      <c r="E210" s="91">
        <v>1</v>
      </c>
      <c r="F210" s="91" t="s">
        <v>302</v>
      </c>
      <c r="G210" s="91">
        <v>1</v>
      </c>
      <c r="H210" s="452">
        <f>((B210+B211+B212+B213)*C210*D210*E210)-((0.8*2.1*G210)+(1.5*0.5*G211))</f>
        <v>25.64</v>
      </c>
      <c r="I210" s="452">
        <f>H210</f>
        <v>25.64</v>
      </c>
      <c r="J210" s="452">
        <f>I210-K210</f>
        <v>12.832000000000003</v>
      </c>
      <c r="K210" s="452">
        <f>((B210+B211+B212+B213)*(3.5-1.6)*D210*E210)-((0.8*2.1*G210)+(1.5*0.5*G211))</f>
        <v>12.807999999999998</v>
      </c>
      <c r="L210" s="452">
        <f>B210*B212</f>
        <v>3.9780000000000002</v>
      </c>
      <c r="M210" s="452">
        <f>((B211+B213)*C210*D210*E210)-((0.8*2.1*G210))</f>
        <v>12.355</v>
      </c>
      <c r="N210" s="510">
        <v>0</v>
      </c>
    </row>
    <row r="211" spans="1:14" s="93" customFormat="1" x14ac:dyDescent="0.3">
      <c r="A211" s="451"/>
      <c r="B211" s="278">
        <v>2.21</v>
      </c>
      <c r="C211" s="452"/>
      <c r="D211" s="452"/>
      <c r="E211" s="91">
        <v>1</v>
      </c>
      <c r="F211" s="91" t="s">
        <v>322</v>
      </c>
      <c r="G211" s="91">
        <v>1</v>
      </c>
      <c r="H211" s="452"/>
      <c r="I211" s="452"/>
      <c r="J211" s="452"/>
      <c r="K211" s="452"/>
      <c r="L211" s="452"/>
      <c r="M211" s="452"/>
      <c r="N211" s="511"/>
    </row>
    <row r="212" spans="1:14" s="93" customFormat="1" x14ac:dyDescent="0.3">
      <c r="A212" s="451"/>
      <c r="B212" s="278">
        <v>1.8</v>
      </c>
      <c r="C212" s="452"/>
      <c r="D212" s="452"/>
      <c r="E212" s="91">
        <v>1</v>
      </c>
      <c r="F212" s="91">
        <v>0</v>
      </c>
      <c r="G212" s="91">
        <v>0</v>
      </c>
      <c r="H212" s="452"/>
      <c r="I212" s="452"/>
      <c r="J212" s="452"/>
      <c r="K212" s="452"/>
      <c r="L212" s="452"/>
      <c r="M212" s="452"/>
      <c r="N212" s="511"/>
    </row>
    <row r="213" spans="1:14" s="93" customFormat="1" x14ac:dyDescent="0.3">
      <c r="A213" s="451"/>
      <c r="B213" s="278">
        <v>1.8</v>
      </c>
      <c r="C213" s="452"/>
      <c r="D213" s="452"/>
      <c r="E213" s="91">
        <v>1</v>
      </c>
      <c r="F213" s="91">
        <v>0</v>
      </c>
      <c r="G213" s="91">
        <v>0</v>
      </c>
      <c r="H213" s="452"/>
      <c r="I213" s="452"/>
      <c r="J213" s="452"/>
      <c r="K213" s="452"/>
      <c r="L213" s="452"/>
      <c r="M213" s="452"/>
      <c r="N213" s="512"/>
    </row>
    <row r="214" spans="1:14" s="93" customFormat="1" x14ac:dyDescent="0.3">
      <c r="A214" s="451" t="s">
        <v>327</v>
      </c>
      <c r="B214" s="278">
        <v>2.23</v>
      </c>
      <c r="C214" s="452">
        <v>3.5</v>
      </c>
      <c r="D214" s="452">
        <v>1</v>
      </c>
      <c r="E214" s="91">
        <v>1</v>
      </c>
      <c r="F214" s="91" t="s">
        <v>302</v>
      </c>
      <c r="G214" s="91">
        <v>1</v>
      </c>
      <c r="H214" s="452">
        <f>((B214+B215+B216+B217)*C214*D214*E214)-((0.8*2.1*G214)+(1.5*0.5*G215))</f>
        <v>25.78</v>
      </c>
      <c r="I214" s="452">
        <f>H214</f>
        <v>25.78</v>
      </c>
      <c r="J214" s="452">
        <f>I214-K214</f>
        <v>12.896000000000001</v>
      </c>
      <c r="K214" s="452">
        <f>((B214+B215+B216+B217)*(3.5-1.6)*D214*E214)-((0.8*2.1*G214)+(1.5*0.5*G215))</f>
        <v>12.884</v>
      </c>
      <c r="L214" s="452">
        <f>B214*B216</f>
        <v>4.0140000000000002</v>
      </c>
      <c r="M214" s="452">
        <f>((B214)*C214*D214*E214)-((0.8*2.1*G214))</f>
        <v>6.125</v>
      </c>
      <c r="N214" s="510">
        <v>0</v>
      </c>
    </row>
    <row r="215" spans="1:14" s="93" customFormat="1" x14ac:dyDescent="0.3">
      <c r="A215" s="451"/>
      <c r="B215" s="278">
        <v>2.23</v>
      </c>
      <c r="C215" s="452"/>
      <c r="D215" s="452"/>
      <c r="E215" s="91">
        <v>1</v>
      </c>
      <c r="F215" s="91" t="s">
        <v>322</v>
      </c>
      <c r="G215" s="91">
        <v>1</v>
      </c>
      <c r="H215" s="452"/>
      <c r="I215" s="452"/>
      <c r="J215" s="452"/>
      <c r="K215" s="452"/>
      <c r="L215" s="452"/>
      <c r="M215" s="452"/>
      <c r="N215" s="511"/>
    </row>
    <row r="216" spans="1:14" s="93" customFormat="1" x14ac:dyDescent="0.3">
      <c r="A216" s="451"/>
      <c r="B216" s="278">
        <v>1.8</v>
      </c>
      <c r="C216" s="452"/>
      <c r="D216" s="452"/>
      <c r="E216" s="91">
        <v>1</v>
      </c>
      <c r="F216" s="91">
        <v>0</v>
      </c>
      <c r="G216" s="91">
        <v>0</v>
      </c>
      <c r="H216" s="452"/>
      <c r="I216" s="452"/>
      <c r="J216" s="452"/>
      <c r="K216" s="452"/>
      <c r="L216" s="452"/>
      <c r="M216" s="452"/>
      <c r="N216" s="511"/>
    </row>
    <row r="217" spans="1:14" s="93" customFormat="1" x14ac:dyDescent="0.3">
      <c r="A217" s="451"/>
      <c r="B217" s="278">
        <v>1.8</v>
      </c>
      <c r="C217" s="452"/>
      <c r="D217" s="452"/>
      <c r="E217" s="91">
        <v>1</v>
      </c>
      <c r="F217" s="91">
        <v>0</v>
      </c>
      <c r="G217" s="91">
        <v>0</v>
      </c>
      <c r="H217" s="452"/>
      <c r="I217" s="452"/>
      <c r="J217" s="452"/>
      <c r="K217" s="452"/>
      <c r="L217" s="452"/>
      <c r="M217" s="452"/>
      <c r="N217" s="512"/>
    </row>
    <row r="218" spans="1:14" s="93" customFormat="1" x14ac:dyDescent="0.3">
      <c r="A218" s="451" t="s">
        <v>328</v>
      </c>
      <c r="B218" s="278">
        <v>1.5</v>
      </c>
      <c r="C218" s="452">
        <v>3.5</v>
      </c>
      <c r="D218" s="452">
        <v>1</v>
      </c>
      <c r="E218" s="91">
        <v>1</v>
      </c>
      <c r="F218" s="91" t="s">
        <v>302</v>
      </c>
      <c r="G218" s="91">
        <v>1</v>
      </c>
      <c r="H218" s="452">
        <f>((B218+B219+B221+B222)*C218*D218*E218)-((0.8*2.1*G218)+(1.5*0.5*G219)+(1*0.5*G220))</f>
        <v>20.94</v>
      </c>
      <c r="I218" s="452">
        <f>H218</f>
        <v>20.94</v>
      </c>
      <c r="J218" s="452">
        <f>I218-K218</f>
        <v>10.912000000000001</v>
      </c>
      <c r="K218" s="452">
        <f>((B218+B219+B221+B222)*(3.5-1.6)*D218*E218)-((0.8*2.1*G218)+(1.5*0.5*G219)+(1*0.5*G220))</f>
        <v>10.028</v>
      </c>
      <c r="L218" s="452">
        <v>5.89</v>
      </c>
      <c r="M218" s="452">
        <v>0</v>
      </c>
      <c r="N218" s="510">
        <v>0</v>
      </c>
    </row>
    <row r="219" spans="1:14" s="93" customFormat="1" x14ac:dyDescent="0.3">
      <c r="A219" s="451"/>
      <c r="B219" s="278">
        <f>3.37-1.08</f>
        <v>2.29</v>
      </c>
      <c r="C219" s="452"/>
      <c r="D219" s="452"/>
      <c r="E219" s="91">
        <v>1</v>
      </c>
      <c r="F219" s="91" t="s">
        <v>322</v>
      </c>
      <c r="G219" s="91">
        <v>1</v>
      </c>
      <c r="H219" s="452"/>
      <c r="I219" s="452"/>
      <c r="J219" s="452"/>
      <c r="K219" s="452"/>
      <c r="L219" s="452"/>
      <c r="M219" s="452"/>
      <c r="N219" s="511"/>
    </row>
    <row r="220" spans="1:14" s="93" customFormat="1" x14ac:dyDescent="0.3">
      <c r="A220" s="451"/>
      <c r="B220" s="278">
        <v>0.45</v>
      </c>
      <c r="C220" s="452"/>
      <c r="D220" s="452"/>
      <c r="E220" s="91">
        <v>1</v>
      </c>
      <c r="F220" s="91" t="s">
        <v>319</v>
      </c>
      <c r="G220" s="91">
        <v>1</v>
      </c>
      <c r="H220" s="452"/>
      <c r="I220" s="452"/>
      <c r="J220" s="452"/>
      <c r="K220" s="452"/>
      <c r="L220" s="452"/>
      <c r="M220" s="452"/>
      <c r="N220" s="511"/>
    </row>
    <row r="221" spans="1:14" s="93" customFormat="1" x14ac:dyDescent="0.3">
      <c r="A221" s="451"/>
      <c r="B221" s="278">
        <v>1.08</v>
      </c>
      <c r="C221" s="452"/>
      <c r="D221" s="452"/>
      <c r="E221" s="91">
        <v>1</v>
      </c>
      <c r="F221" s="91">
        <v>0</v>
      </c>
      <c r="G221" s="91">
        <v>0</v>
      </c>
      <c r="H221" s="452"/>
      <c r="I221" s="452"/>
      <c r="J221" s="452"/>
      <c r="K221" s="452"/>
      <c r="L221" s="452"/>
      <c r="M221" s="452"/>
      <c r="N221" s="511"/>
    </row>
    <row r="222" spans="1:14" s="93" customFormat="1" x14ac:dyDescent="0.3">
      <c r="A222" s="451"/>
      <c r="B222" s="278">
        <v>1.95</v>
      </c>
      <c r="C222" s="452"/>
      <c r="D222" s="452"/>
      <c r="E222" s="91">
        <v>1</v>
      </c>
      <c r="F222" s="91">
        <v>0</v>
      </c>
      <c r="G222" s="91">
        <v>0</v>
      </c>
      <c r="H222" s="452"/>
      <c r="I222" s="452"/>
      <c r="J222" s="452"/>
      <c r="K222" s="452"/>
      <c r="L222" s="452"/>
      <c r="M222" s="452"/>
      <c r="N222" s="512"/>
    </row>
    <row r="223" spans="1:14" s="93" customFormat="1" x14ac:dyDescent="0.3">
      <c r="A223" s="451" t="s">
        <v>329</v>
      </c>
      <c r="B223" s="278">
        <v>4.5999999999999996</v>
      </c>
      <c r="C223" s="452">
        <v>3.5</v>
      </c>
      <c r="D223" s="452">
        <v>1</v>
      </c>
      <c r="E223" s="91">
        <v>1</v>
      </c>
      <c r="F223" s="91" t="s">
        <v>314</v>
      </c>
      <c r="G223" s="91">
        <v>1</v>
      </c>
      <c r="H223" s="452">
        <f>((B223+B224+B225+B226)*C223*D223*E223)-((0.9*2.1*G223)+(2*1.2*G224))</f>
        <v>52.27</v>
      </c>
      <c r="I223" s="452">
        <f>H223</f>
        <v>52.27</v>
      </c>
      <c r="J223" s="452">
        <v>0</v>
      </c>
      <c r="K223" s="452">
        <f>H223</f>
        <v>52.27</v>
      </c>
      <c r="L223" s="452">
        <v>16.100000000000001</v>
      </c>
      <c r="M223" s="452">
        <f>((B223+B224+B225)*C223*D223*E223)-((0.9*2.1*G223))</f>
        <v>42.489999999999995</v>
      </c>
      <c r="N223" s="510">
        <v>0</v>
      </c>
    </row>
    <row r="224" spans="1:14" s="93" customFormat="1" x14ac:dyDescent="0.3">
      <c r="A224" s="451"/>
      <c r="B224" s="278">
        <v>4.5999999999999996</v>
      </c>
      <c r="C224" s="452"/>
      <c r="D224" s="452"/>
      <c r="E224" s="91">
        <v>1</v>
      </c>
      <c r="F224" s="91" t="s">
        <v>330</v>
      </c>
      <c r="G224" s="91">
        <v>1</v>
      </c>
      <c r="H224" s="452"/>
      <c r="I224" s="452"/>
      <c r="J224" s="452"/>
      <c r="K224" s="452"/>
      <c r="L224" s="452"/>
      <c r="M224" s="452"/>
      <c r="N224" s="511"/>
    </row>
    <row r="225" spans="1:14" s="93" customFormat="1" x14ac:dyDescent="0.3">
      <c r="A225" s="451"/>
      <c r="B225" s="278">
        <v>3.48</v>
      </c>
      <c r="C225" s="452"/>
      <c r="D225" s="452"/>
      <c r="E225" s="91">
        <v>1</v>
      </c>
      <c r="F225" s="91">
        <v>0</v>
      </c>
      <c r="G225" s="91">
        <v>0</v>
      </c>
      <c r="H225" s="452"/>
      <c r="I225" s="452"/>
      <c r="J225" s="452"/>
      <c r="K225" s="452"/>
      <c r="L225" s="452"/>
      <c r="M225" s="452"/>
      <c r="N225" s="511"/>
    </row>
    <row r="226" spans="1:14" s="93" customFormat="1" x14ac:dyDescent="0.3">
      <c r="A226" s="451"/>
      <c r="B226" s="278">
        <v>3.48</v>
      </c>
      <c r="C226" s="452"/>
      <c r="D226" s="452"/>
      <c r="E226" s="91">
        <v>1</v>
      </c>
      <c r="F226" s="91">
        <v>0</v>
      </c>
      <c r="G226" s="91">
        <v>0</v>
      </c>
      <c r="H226" s="452"/>
      <c r="I226" s="452"/>
      <c r="J226" s="452"/>
      <c r="K226" s="452"/>
      <c r="L226" s="452"/>
      <c r="M226" s="452"/>
      <c r="N226" s="512"/>
    </row>
    <row r="227" spans="1:14" s="93" customFormat="1" x14ac:dyDescent="0.3">
      <c r="A227" s="451" t="s">
        <v>331</v>
      </c>
      <c r="B227" s="278">
        <v>3.38</v>
      </c>
      <c r="C227" s="452">
        <v>3.5</v>
      </c>
      <c r="D227" s="452">
        <v>1</v>
      </c>
      <c r="E227" s="91">
        <v>1</v>
      </c>
      <c r="F227" s="91" t="s">
        <v>302</v>
      </c>
      <c r="G227" s="91">
        <v>1</v>
      </c>
      <c r="H227" s="452">
        <f>((B227+B228+B229+B230)*C227*D227*E227)-((0.8*2.1*G227)+(1*0.5*G228))</f>
        <v>29.880000000000003</v>
      </c>
      <c r="I227" s="452">
        <f>H227</f>
        <v>29.880000000000003</v>
      </c>
      <c r="J227" s="452">
        <f>I227-K227</f>
        <v>14.656000000000002</v>
      </c>
      <c r="K227" s="452">
        <f>((B227+B228+B229+B230)*(3.5-1.6)*D227*E227)-((0.8*2.1*G227)+(1*0.5*G228))</f>
        <v>15.224</v>
      </c>
      <c r="L227" s="452">
        <f>B227*B229</f>
        <v>4.056</v>
      </c>
      <c r="M227" s="452">
        <f>((B230)*C227*D227*E227)-((0.8*2.1*G227))</f>
        <v>2.52</v>
      </c>
      <c r="N227" s="510">
        <v>0</v>
      </c>
    </row>
    <row r="228" spans="1:14" s="93" customFormat="1" x14ac:dyDescent="0.3">
      <c r="A228" s="451"/>
      <c r="B228" s="278">
        <v>3.38</v>
      </c>
      <c r="C228" s="452"/>
      <c r="D228" s="452"/>
      <c r="E228" s="91">
        <v>1</v>
      </c>
      <c r="F228" s="91" t="s">
        <v>319</v>
      </c>
      <c r="G228" s="91">
        <v>1</v>
      </c>
      <c r="H228" s="452"/>
      <c r="I228" s="452"/>
      <c r="J228" s="452"/>
      <c r="K228" s="452"/>
      <c r="L228" s="452"/>
      <c r="M228" s="452"/>
      <c r="N228" s="511"/>
    </row>
    <row r="229" spans="1:14" s="93" customFormat="1" x14ac:dyDescent="0.3">
      <c r="A229" s="451"/>
      <c r="B229" s="278">
        <v>1.2</v>
      </c>
      <c r="C229" s="452"/>
      <c r="D229" s="452"/>
      <c r="E229" s="91">
        <v>1</v>
      </c>
      <c r="F229" s="91">
        <v>0</v>
      </c>
      <c r="G229" s="91">
        <v>0</v>
      </c>
      <c r="H229" s="452"/>
      <c r="I229" s="452"/>
      <c r="J229" s="452"/>
      <c r="K229" s="452"/>
      <c r="L229" s="452"/>
      <c r="M229" s="452"/>
      <c r="N229" s="511"/>
    </row>
    <row r="230" spans="1:14" s="93" customFormat="1" ht="15" thickBot="1" x14ac:dyDescent="0.35">
      <c r="A230" s="451"/>
      <c r="B230" s="278">
        <v>1.2</v>
      </c>
      <c r="C230" s="452"/>
      <c r="D230" s="452"/>
      <c r="E230" s="91">
        <v>1</v>
      </c>
      <c r="F230" s="91">
        <v>0</v>
      </c>
      <c r="G230" s="91">
        <v>0</v>
      </c>
      <c r="H230" s="452"/>
      <c r="I230" s="452"/>
      <c r="J230" s="452"/>
      <c r="K230" s="452"/>
      <c r="L230" s="452"/>
      <c r="M230" s="452"/>
      <c r="N230" s="513"/>
    </row>
    <row r="231" spans="1:14" s="93" customFormat="1" ht="16.2" thickBot="1" x14ac:dyDescent="0.35">
      <c r="A231" s="473" t="s">
        <v>311</v>
      </c>
      <c r="B231" s="474"/>
      <c r="C231" s="474"/>
      <c r="D231" s="474"/>
      <c r="E231" s="474"/>
      <c r="F231" s="474"/>
      <c r="G231" s="475"/>
      <c r="H231" s="241">
        <f>SUM(H128:H230)</f>
        <v>1032.248</v>
      </c>
      <c r="I231" s="241">
        <f>SUM(I128:I230)</f>
        <v>1032.248</v>
      </c>
      <c r="J231" s="241">
        <f t="shared" ref="J231:N231" si="19">SUM(J128:J230)</f>
        <v>129.59600000000003</v>
      </c>
      <c r="K231" s="241">
        <f t="shared" si="19"/>
        <v>902.65200000000016</v>
      </c>
      <c r="L231" s="241">
        <f t="shared" si="19"/>
        <v>149.648</v>
      </c>
      <c r="M231" s="241">
        <f>SUM(M128:M230)</f>
        <v>500.8900000000001</v>
      </c>
      <c r="N231" s="332">
        <f t="shared" si="19"/>
        <v>25.4</v>
      </c>
    </row>
    <row r="232" spans="1:14" s="93" customFormat="1" ht="16.2" thickBot="1" x14ac:dyDescent="0.35">
      <c r="A232" s="183"/>
      <c r="B232" s="183"/>
      <c r="C232" s="183"/>
      <c r="D232" s="184"/>
      <c r="E232" s="184"/>
      <c r="F232" s="463" t="s">
        <v>341</v>
      </c>
      <c r="G232" s="464"/>
      <c r="H232" s="242">
        <f>H231+L231</f>
        <v>1181.896</v>
      </c>
      <c r="I232" s="243">
        <f>H232</f>
        <v>1181.896</v>
      </c>
      <c r="J232" s="244"/>
      <c r="K232" s="244"/>
      <c r="L232" s="245"/>
      <c r="M232" s="246"/>
      <c r="N232" s="246"/>
    </row>
    <row r="233" spans="1:14" s="93" customFormat="1" ht="15" thickBot="1" x14ac:dyDescent="0.35">
      <c r="A233" s="183"/>
      <c r="B233" s="183"/>
      <c r="C233" s="183"/>
      <c r="D233" s="184"/>
      <c r="E233" s="184"/>
      <c r="F233" s="184"/>
      <c r="G233" s="184"/>
      <c r="H233" s="184"/>
      <c r="I233" s="184"/>
      <c r="J233" s="184"/>
      <c r="K233" s="184"/>
      <c r="L233" s="183"/>
    </row>
    <row r="234" spans="1:14" s="93" customFormat="1" ht="15" thickBot="1" x14ac:dyDescent="0.35">
      <c r="A234" s="490" t="s">
        <v>345</v>
      </c>
      <c r="B234" s="491"/>
      <c r="C234" s="491"/>
      <c r="D234" s="491"/>
      <c r="E234" s="491"/>
      <c r="F234" s="491"/>
      <c r="G234" s="491"/>
      <c r="H234" s="491"/>
      <c r="I234" s="491"/>
      <c r="J234" s="492"/>
      <c r="K234" s="183"/>
      <c r="L234" s="183"/>
    </row>
    <row r="235" spans="1:14" s="93" customFormat="1" ht="44.4" customHeight="1" x14ac:dyDescent="0.3">
      <c r="A235" s="187" t="s">
        <v>7</v>
      </c>
      <c r="B235" s="188" t="s">
        <v>292</v>
      </c>
      <c r="C235" s="279" t="s">
        <v>9</v>
      </c>
      <c r="D235" s="279" t="s">
        <v>312</v>
      </c>
      <c r="E235" s="468" t="s">
        <v>313</v>
      </c>
      <c r="F235" s="468"/>
      <c r="G235" s="189" t="s">
        <v>342</v>
      </c>
      <c r="H235" s="189" t="s">
        <v>298</v>
      </c>
      <c r="I235" s="189" t="s">
        <v>344</v>
      </c>
      <c r="J235" s="190" t="s">
        <v>343</v>
      </c>
      <c r="K235" s="186"/>
      <c r="L235" s="186"/>
    </row>
    <row r="236" spans="1:14" s="93" customFormat="1" x14ac:dyDescent="0.3">
      <c r="A236" s="455" t="s">
        <v>300</v>
      </c>
      <c r="B236" s="181">
        <v>0.25</v>
      </c>
      <c r="C236" s="177">
        <v>4</v>
      </c>
      <c r="D236" s="479">
        <v>0.1</v>
      </c>
      <c r="E236" s="91">
        <v>0.9</v>
      </c>
      <c r="F236" s="91">
        <v>1</v>
      </c>
      <c r="G236" s="469">
        <f>((11+1.1+1.2+17+1.2+12.1+1.2+17+1.2)*1.2)+(1.65*2.6)</f>
        <v>79.89</v>
      </c>
      <c r="H236" s="453">
        <v>6.27</v>
      </c>
      <c r="I236" s="465">
        <f>G236</f>
        <v>79.89</v>
      </c>
      <c r="J236" s="476">
        <f>((B236*C236+B237*C237+B238*C238+B239*C239+B240*C240+B241*C241+B242*C242+B243*C243+B244*C244+B245*C245+B246*C246+B247*C247+B248*C248+B249*C249+B250*C250+B251*C251+B252*C252)-(E236*F236+E237*F237))</f>
        <v>59.530000000000015</v>
      </c>
      <c r="K236" s="81"/>
      <c r="L236" s="81"/>
    </row>
    <row r="237" spans="1:14" s="93" customFormat="1" x14ac:dyDescent="0.3">
      <c r="A237" s="456"/>
      <c r="B237" s="180">
        <v>0.8</v>
      </c>
      <c r="C237" s="95">
        <v>6</v>
      </c>
      <c r="D237" s="480"/>
      <c r="E237" s="91">
        <v>2.4</v>
      </c>
      <c r="F237" s="91">
        <v>1</v>
      </c>
      <c r="G237" s="470"/>
      <c r="H237" s="454"/>
      <c r="I237" s="466"/>
      <c r="J237" s="477"/>
      <c r="K237" s="81"/>
      <c r="L237" s="81"/>
    </row>
    <row r="238" spans="1:14" s="93" customFormat="1" x14ac:dyDescent="0.3">
      <c r="A238" s="456"/>
      <c r="B238" s="180">
        <v>3.15</v>
      </c>
      <c r="C238" s="95">
        <v>1</v>
      </c>
      <c r="D238" s="480"/>
      <c r="E238" s="91">
        <v>0</v>
      </c>
      <c r="F238" s="91">
        <v>0</v>
      </c>
      <c r="G238" s="470"/>
      <c r="H238" s="454"/>
      <c r="I238" s="466"/>
      <c r="J238" s="477"/>
      <c r="K238" s="81"/>
      <c r="L238" s="81"/>
    </row>
    <row r="239" spans="1:14" s="93" customFormat="1" x14ac:dyDescent="0.3">
      <c r="A239" s="456"/>
      <c r="B239" s="180">
        <v>2.85</v>
      </c>
      <c r="C239" s="95">
        <v>1</v>
      </c>
      <c r="D239" s="480"/>
      <c r="E239" s="91">
        <v>0</v>
      </c>
      <c r="F239" s="91">
        <v>0</v>
      </c>
      <c r="G239" s="470"/>
      <c r="H239" s="454"/>
      <c r="I239" s="466"/>
      <c r="J239" s="477"/>
      <c r="K239" s="81"/>
      <c r="L239" s="81"/>
    </row>
    <row r="240" spans="1:14" s="93" customFormat="1" x14ac:dyDescent="0.3">
      <c r="A240" s="456"/>
      <c r="B240" s="180">
        <v>1.65</v>
      </c>
      <c r="C240" s="95">
        <v>2</v>
      </c>
      <c r="D240" s="480"/>
      <c r="E240" s="91">
        <v>0</v>
      </c>
      <c r="F240" s="91">
        <v>0</v>
      </c>
      <c r="G240" s="470"/>
      <c r="H240" s="454"/>
      <c r="I240" s="466"/>
      <c r="J240" s="477"/>
      <c r="K240" s="81"/>
      <c r="L240" s="81"/>
    </row>
    <row r="241" spans="1:12" s="93" customFormat="1" x14ac:dyDescent="0.3">
      <c r="A241" s="456"/>
      <c r="B241" s="180">
        <v>5</v>
      </c>
      <c r="C241" s="95">
        <v>1</v>
      </c>
      <c r="D241" s="480"/>
      <c r="E241" s="91">
        <v>0</v>
      </c>
      <c r="F241" s="91">
        <v>0</v>
      </c>
      <c r="G241" s="470"/>
      <c r="H241" s="454"/>
      <c r="I241" s="466"/>
      <c r="J241" s="477"/>
      <c r="K241" s="81"/>
      <c r="L241" s="81"/>
    </row>
    <row r="242" spans="1:12" s="93" customFormat="1" x14ac:dyDescent="0.3">
      <c r="A242" s="456"/>
      <c r="B242" s="180">
        <v>2.86</v>
      </c>
      <c r="C242" s="95">
        <v>1</v>
      </c>
      <c r="D242" s="480"/>
      <c r="E242" s="91">
        <v>0</v>
      </c>
      <c r="F242" s="91">
        <v>0</v>
      </c>
      <c r="G242" s="470"/>
      <c r="H242" s="454"/>
      <c r="I242" s="466"/>
      <c r="J242" s="477"/>
      <c r="K242" s="81"/>
      <c r="L242" s="81"/>
    </row>
    <row r="243" spans="1:12" s="93" customFormat="1" x14ac:dyDescent="0.3">
      <c r="A243" s="456"/>
      <c r="B243" s="180">
        <v>2.64</v>
      </c>
      <c r="C243" s="95">
        <v>1</v>
      </c>
      <c r="D243" s="480"/>
      <c r="E243" s="91">
        <v>0</v>
      </c>
      <c r="F243" s="91">
        <v>0</v>
      </c>
      <c r="G243" s="470"/>
      <c r="H243" s="454"/>
      <c r="I243" s="466"/>
      <c r="J243" s="477"/>
      <c r="K243" s="81"/>
      <c r="L243" s="81"/>
    </row>
    <row r="244" spans="1:12" s="93" customFormat="1" x14ac:dyDescent="0.3">
      <c r="A244" s="456"/>
      <c r="B244" s="180">
        <v>4.0999999999999996</v>
      </c>
      <c r="C244" s="95">
        <v>1</v>
      </c>
      <c r="D244" s="480"/>
      <c r="E244" s="91">
        <v>0</v>
      </c>
      <c r="F244" s="91">
        <v>0</v>
      </c>
      <c r="G244" s="470"/>
      <c r="H244" s="454"/>
      <c r="I244" s="466"/>
      <c r="J244" s="477"/>
      <c r="K244" s="81"/>
      <c r="L244" s="472"/>
    </row>
    <row r="245" spans="1:12" s="93" customFormat="1" x14ac:dyDescent="0.3">
      <c r="A245" s="456"/>
      <c r="B245" s="180">
        <v>1.45</v>
      </c>
      <c r="C245" s="95">
        <v>2</v>
      </c>
      <c r="D245" s="480"/>
      <c r="E245" s="91">
        <v>0</v>
      </c>
      <c r="F245" s="91">
        <v>0</v>
      </c>
      <c r="G245" s="470"/>
      <c r="H245" s="454"/>
      <c r="I245" s="466"/>
      <c r="J245" s="477"/>
      <c r="K245" s="81"/>
      <c r="L245" s="472"/>
    </row>
    <row r="246" spans="1:12" s="93" customFormat="1" x14ac:dyDescent="0.3">
      <c r="A246" s="456"/>
      <c r="B246" s="180">
        <v>4.32</v>
      </c>
      <c r="C246" s="95">
        <v>1</v>
      </c>
      <c r="D246" s="480"/>
      <c r="E246" s="91">
        <v>0</v>
      </c>
      <c r="F246" s="91">
        <v>0</v>
      </c>
      <c r="G246" s="470"/>
      <c r="H246" s="454"/>
      <c r="I246" s="466"/>
      <c r="J246" s="477"/>
      <c r="K246" s="81"/>
      <c r="L246" s="472"/>
    </row>
    <row r="247" spans="1:12" s="93" customFormat="1" x14ac:dyDescent="0.3">
      <c r="A247" s="456"/>
      <c r="B247" s="180">
        <v>3.17</v>
      </c>
      <c r="C247" s="95">
        <v>1</v>
      </c>
      <c r="D247" s="480"/>
      <c r="E247" s="91">
        <v>0</v>
      </c>
      <c r="F247" s="91">
        <v>0</v>
      </c>
      <c r="G247" s="470"/>
      <c r="H247" s="454"/>
      <c r="I247" s="466"/>
      <c r="J247" s="477"/>
      <c r="K247" s="81"/>
      <c r="L247" s="472"/>
    </row>
    <row r="248" spans="1:12" s="93" customFormat="1" x14ac:dyDescent="0.3">
      <c r="A248" s="456"/>
      <c r="B248" s="180">
        <v>9.24</v>
      </c>
      <c r="C248" s="95">
        <v>1</v>
      </c>
      <c r="D248" s="480"/>
      <c r="E248" s="91">
        <v>0</v>
      </c>
      <c r="F248" s="91">
        <v>0</v>
      </c>
      <c r="G248" s="470"/>
      <c r="H248" s="454"/>
      <c r="I248" s="466"/>
      <c r="J248" s="477"/>
      <c r="K248" s="81"/>
      <c r="L248" s="472"/>
    </row>
    <row r="249" spans="1:12" s="93" customFormat="1" x14ac:dyDescent="0.3">
      <c r="A249" s="456"/>
      <c r="B249" s="180">
        <v>1.1000000000000001</v>
      </c>
      <c r="C249" s="95">
        <v>1</v>
      </c>
      <c r="D249" s="480"/>
      <c r="E249" s="91">
        <v>0</v>
      </c>
      <c r="F249" s="91">
        <v>0</v>
      </c>
      <c r="G249" s="470"/>
      <c r="H249" s="454"/>
      <c r="I249" s="466"/>
      <c r="J249" s="477"/>
      <c r="K249" s="81"/>
      <c r="L249" s="472"/>
    </row>
    <row r="250" spans="1:12" s="93" customFormat="1" x14ac:dyDescent="0.3">
      <c r="A250" s="456"/>
      <c r="B250" s="180">
        <v>4.75</v>
      </c>
      <c r="C250" s="95">
        <v>1</v>
      </c>
      <c r="D250" s="480"/>
      <c r="E250" s="91">
        <v>0</v>
      </c>
      <c r="F250" s="91">
        <v>0</v>
      </c>
      <c r="G250" s="470"/>
      <c r="H250" s="454"/>
      <c r="I250" s="466"/>
      <c r="J250" s="477"/>
      <c r="K250" s="81"/>
      <c r="L250" s="472"/>
    </row>
    <row r="251" spans="1:12" s="93" customFormat="1" x14ac:dyDescent="0.3">
      <c r="A251" s="456"/>
      <c r="B251" s="180">
        <f>4.25+1.5+0.95</f>
        <v>6.7</v>
      </c>
      <c r="C251" s="95">
        <v>1</v>
      </c>
      <c r="D251" s="480"/>
      <c r="E251" s="91">
        <v>0</v>
      </c>
      <c r="F251" s="91">
        <v>0</v>
      </c>
      <c r="G251" s="470"/>
      <c r="H251" s="454"/>
      <c r="I251" s="466"/>
      <c r="J251" s="477"/>
      <c r="K251" s="472"/>
      <c r="L251" s="472"/>
    </row>
    <row r="252" spans="1:12" s="93" customFormat="1" x14ac:dyDescent="0.3">
      <c r="A252" s="457"/>
      <c r="B252" s="182">
        <v>0.95</v>
      </c>
      <c r="C252" s="176">
        <v>1</v>
      </c>
      <c r="D252" s="481"/>
      <c r="E252" s="91">
        <v>0</v>
      </c>
      <c r="F252" s="91">
        <v>0</v>
      </c>
      <c r="G252" s="471"/>
      <c r="H252" s="458"/>
      <c r="I252" s="467"/>
      <c r="J252" s="478"/>
      <c r="K252" s="472"/>
      <c r="L252" s="472"/>
    </row>
    <row r="253" spans="1:12" s="93" customFormat="1" x14ac:dyDescent="0.3">
      <c r="A253" s="460" t="s">
        <v>301</v>
      </c>
      <c r="B253" s="181">
        <v>4.05</v>
      </c>
      <c r="C253" s="177">
        <v>1</v>
      </c>
      <c r="D253" s="479">
        <v>0.1</v>
      </c>
      <c r="E253" s="91">
        <v>2.4</v>
      </c>
      <c r="F253" s="91">
        <v>1</v>
      </c>
      <c r="G253" s="482">
        <v>21.83</v>
      </c>
      <c r="H253" s="452">
        <f>G253</f>
        <v>21.83</v>
      </c>
      <c r="I253" s="469">
        <v>0</v>
      </c>
      <c r="J253" s="476">
        <f>(B253+B254+B255+B256+B257+B258+B259-(E253+E254))</f>
        <v>14.29</v>
      </c>
      <c r="K253" s="472"/>
      <c r="L253" s="472"/>
    </row>
    <row r="254" spans="1:12" s="93" customFormat="1" x14ac:dyDescent="0.3">
      <c r="A254" s="461"/>
      <c r="B254" s="180">
        <v>5</v>
      </c>
      <c r="C254" s="95">
        <v>1</v>
      </c>
      <c r="D254" s="480"/>
      <c r="E254" s="91">
        <v>0.9</v>
      </c>
      <c r="F254" s="91">
        <v>1</v>
      </c>
      <c r="G254" s="483"/>
      <c r="H254" s="452"/>
      <c r="I254" s="470"/>
      <c r="J254" s="477"/>
      <c r="K254" s="472"/>
      <c r="L254" s="472"/>
    </row>
    <row r="255" spans="1:12" s="93" customFormat="1" x14ac:dyDescent="0.3">
      <c r="A255" s="461"/>
      <c r="B255" s="180">
        <v>2.3199999999999998</v>
      </c>
      <c r="C255" s="95">
        <v>1</v>
      </c>
      <c r="D255" s="480"/>
      <c r="E255" s="91">
        <v>0</v>
      </c>
      <c r="F255" s="91">
        <v>0</v>
      </c>
      <c r="G255" s="483"/>
      <c r="H255" s="452"/>
      <c r="I255" s="470"/>
      <c r="J255" s="477"/>
      <c r="K255" s="472"/>
      <c r="L255" s="472"/>
    </row>
    <row r="256" spans="1:12" s="93" customFormat="1" x14ac:dyDescent="0.3">
      <c r="A256" s="461"/>
      <c r="B256" s="180">
        <v>0.28000000000000003</v>
      </c>
      <c r="C256" s="95">
        <v>1</v>
      </c>
      <c r="D256" s="480"/>
      <c r="E256" s="91">
        <v>0</v>
      </c>
      <c r="F256" s="91">
        <v>0</v>
      </c>
      <c r="G256" s="483"/>
      <c r="H256" s="452"/>
      <c r="I256" s="470"/>
      <c r="J256" s="477"/>
      <c r="K256" s="472"/>
      <c r="L256" s="472"/>
    </row>
    <row r="257" spans="1:12" s="93" customFormat="1" x14ac:dyDescent="0.3">
      <c r="A257" s="461"/>
      <c r="B257" s="180">
        <v>0.28999999999999998</v>
      </c>
      <c r="C257" s="95">
        <v>1</v>
      </c>
      <c r="D257" s="480"/>
      <c r="E257" s="91">
        <v>0</v>
      </c>
      <c r="F257" s="91">
        <v>0</v>
      </c>
      <c r="G257" s="483"/>
      <c r="H257" s="452"/>
      <c r="I257" s="470"/>
      <c r="J257" s="477"/>
      <c r="K257" s="472"/>
      <c r="L257" s="472"/>
    </row>
    <row r="258" spans="1:12" s="93" customFormat="1" x14ac:dyDescent="0.3">
      <c r="A258" s="461"/>
      <c r="B258" s="180">
        <v>0.6</v>
      </c>
      <c r="C258" s="95">
        <v>1</v>
      </c>
      <c r="D258" s="480"/>
      <c r="E258" s="91">
        <v>0</v>
      </c>
      <c r="F258" s="91">
        <v>0</v>
      </c>
      <c r="G258" s="483"/>
      <c r="H258" s="452"/>
      <c r="I258" s="470"/>
      <c r="J258" s="477"/>
      <c r="K258" s="472"/>
      <c r="L258" s="472"/>
    </row>
    <row r="259" spans="1:12" s="93" customFormat="1" x14ac:dyDescent="0.3">
      <c r="A259" s="462"/>
      <c r="B259" s="182">
        <f>6.35-1.3</f>
        <v>5.05</v>
      </c>
      <c r="C259" s="176">
        <v>1</v>
      </c>
      <c r="D259" s="481"/>
      <c r="E259" s="91">
        <v>0</v>
      </c>
      <c r="F259" s="91">
        <v>0</v>
      </c>
      <c r="G259" s="484"/>
      <c r="H259" s="452"/>
      <c r="I259" s="471"/>
      <c r="J259" s="478"/>
      <c r="K259" s="472"/>
      <c r="L259" s="472"/>
    </row>
    <row r="260" spans="1:12" s="93" customFormat="1" x14ac:dyDescent="0.3">
      <c r="A260" s="460" t="s">
        <v>303</v>
      </c>
      <c r="B260" s="181">
        <v>4</v>
      </c>
      <c r="C260" s="177">
        <v>1</v>
      </c>
      <c r="D260" s="479">
        <v>0.1</v>
      </c>
      <c r="E260" s="91">
        <v>0.9</v>
      </c>
      <c r="F260" s="91">
        <v>1</v>
      </c>
      <c r="G260" s="465">
        <v>13.76</v>
      </c>
      <c r="H260" s="465">
        <f>G260</f>
        <v>13.76</v>
      </c>
      <c r="I260" s="465">
        <v>0</v>
      </c>
      <c r="J260" s="476">
        <f>(B260+B261+B262+B263+B264+B265-(E260+E261))</f>
        <v>13.899999999999999</v>
      </c>
      <c r="K260" s="472"/>
      <c r="L260" s="472"/>
    </row>
    <row r="261" spans="1:12" s="93" customFormat="1" x14ac:dyDescent="0.3">
      <c r="A261" s="461"/>
      <c r="B261" s="180">
        <v>3.8</v>
      </c>
      <c r="C261" s="95">
        <v>1</v>
      </c>
      <c r="D261" s="480"/>
      <c r="E261" s="91">
        <v>0.8</v>
      </c>
      <c r="F261" s="91">
        <v>1</v>
      </c>
      <c r="G261" s="466"/>
      <c r="H261" s="466"/>
      <c r="I261" s="466"/>
      <c r="J261" s="477"/>
      <c r="K261" s="472"/>
      <c r="L261" s="472"/>
    </row>
    <row r="262" spans="1:12" s="93" customFormat="1" x14ac:dyDescent="0.3">
      <c r="A262" s="461"/>
      <c r="B262" s="180">
        <v>2.56</v>
      </c>
      <c r="C262" s="95">
        <v>1</v>
      </c>
      <c r="D262" s="480"/>
      <c r="E262" s="91">
        <v>0</v>
      </c>
      <c r="F262" s="91">
        <v>0</v>
      </c>
      <c r="G262" s="466"/>
      <c r="H262" s="466"/>
      <c r="I262" s="466"/>
      <c r="J262" s="477"/>
      <c r="K262" s="472"/>
      <c r="L262" s="472"/>
    </row>
    <row r="263" spans="1:12" s="93" customFormat="1" x14ac:dyDescent="0.3">
      <c r="A263" s="461"/>
      <c r="B263" s="180">
        <v>0.8</v>
      </c>
      <c r="C263" s="95">
        <v>1</v>
      </c>
      <c r="D263" s="480"/>
      <c r="E263" s="91">
        <v>0</v>
      </c>
      <c r="F263" s="91">
        <v>0</v>
      </c>
      <c r="G263" s="466"/>
      <c r="H263" s="466"/>
      <c r="I263" s="466"/>
      <c r="J263" s="477"/>
      <c r="K263" s="472"/>
      <c r="L263" s="472"/>
    </row>
    <row r="264" spans="1:12" s="93" customFormat="1" x14ac:dyDescent="0.3">
      <c r="A264" s="461"/>
      <c r="B264" s="180">
        <v>1.44</v>
      </c>
      <c r="C264" s="95">
        <v>1</v>
      </c>
      <c r="D264" s="480"/>
      <c r="E264" s="91">
        <v>0</v>
      </c>
      <c r="F264" s="91">
        <v>0</v>
      </c>
      <c r="G264" s="466"/>
      <c r="H264" s="466"/>
      <c r="I264" s="466"/>
      <c r="J264" s="477"/>
      <c r="K264" s="472"/>
      <c r="L264" s="472"/>
    </row>
    <row r="265" spans="1:12" s="93" customFormat="1" x14ac:dyDescent="0.3">
      <c r="A265" s="462"/>
      <c r="B265" s="182">
        <v>3</v>
      </c>
      <c r="C265" s="176">
        <v>1</v>
      </c>
      <c r="D265" s="481"/>
      <c r="E265" s="91">
        <v>0</v>
      </c>
      <c r="F265" s="91">
        <v>0</v>
      </c>
      <c r="G265" s="467"/>
      <c r="H265" s="467"/>
      <c r="I265" s="467"/>
      <c r="J265" s="478"/>
      <c r="K265" s="472"/>
      <c r="L265" s="472"/>
    </row>
    <row r="266" spans="1:12" s="93" customFormat="1" x14ac:dyDescent="0.3">
      <c r="A266" s="460" t="s">
        <v>304</v>
      </c>
      <c r="B266" s="181">
        <v>3</v>
      </c>
      <c r="C266" s="177">
        <v>1</v>
      </c>
      <c r="D266" s="479">
        <v>0.1</v>
      </c>
      <c r="E266" s="91">
        <v>0.8</v>
      </c>
      <c r="F266" s="91">
        <v>1</v>
      </c>
      <c r="G266" s="453">
        <v>3.9</v>
      </c>
      <c r="H266" s="453">
        <f>G266</f>
        <v>3.9</v>
      </c>
      <c r="I266" s="453">
        <v>0</v>
      </c>
      <c r="J266" s="476">
        <v>0</v>
      </c>
      <c r="K266" s="472"/>
      <c r="L266" s="472"/>
    </row>
    <row r="267" spans="1:12" s="93" customFormat="1" x14ac:dyDescent="0.3">
      <c r="A267" s="461"/>
      <c r="B267" s="180">
        <v>3</v>
      </c>
      <c r="C267" s="95">
        <v>1</v>
      </c>
      <c r="D267" s="480"/>
      <c r="E267" s="91">
        <v>0</v>
      </c>
      <c r="F267" s="91">
        <v>0</v>
      </c>
      <c r="G267" s="454"/>
      <c r="H267" s="454"/>
      <c r="I267" s="454"/>
      <c r="J267" s="477"/>
      <c r="K267" s="472"/>
      <c r="L267" s="472"/>
    </row>
    <row r="268" spans="1:12" s="93" customFormat="1" x14ac:dyDescent="0.3">
      <c r="A268" s="461"/>
      <c r="B268" s="180">
        <v>1.3</v>
      </c>
      <c r="C268" s="95">
        <v>1</v>
      </c>
      <c r="D268" s="480"/>
      <c r="E268" s="91">
        <v>0</v>
      </c>
      <c r="F268" s="91">
        <v>0</v>
      </c>
      <c r="G268" s="454"/>
      <c r="H268" s="454"/>
      <c r="I268" s="454"/>
      <c r="J268" s="477"/>
      <c r="K268" s="472"/>
      <c r="L268" s="472"/>
    </row>
    <row r="269" spans="1:12" s="93" customFormat="1" x14ac:dyDescent="0.3">
      <c r="A269" s="462"/>
      <c r="B269" s="182">
        <v>1.3</v>
      </c>
      <c r="C269" s="176">
        <v>1</v>
      </c>
      <c r="D269" s="481"/>
      <c r="E269" s="91"/>
      <c r="F269" s="91">
        <v>0</v>
      </c>
      <c r="G269" s="458"/>
      <c r="H269" s="458"/>
      <c r="I269" s="458"/>
      <c r="J269" s="478"/>
      <c r="K269" s="472"/>
      <c r="L269" s="472"/>
    </row>
    <row r="270" spans="1:12" s="93" customFormat="1" x14ac:dyDescent="0.3">
      <c r="A270" s="460" t="s">
        <v>305</v>
      </c>
      <c r="B270" s="181">
        <v>3.05</v>
      </c>
      <c r="C270" s="177">
        <v>1</v>
      </c>
      <c r="D270" s="479">
        <v>0.1</v>
      </c>
      <c r="E270" s="91">
        <v>0.9</v>
      </c>
      <c r="F270" s="91">
        <v>1</v>
      </c>
      <c r="G270" s="453">
        <v>7.18</v>
      </c>
      <c r="H270" s="453">
        <f>G270</f>
        <v>7.18</v>
      </c>
      <c r="I270" s="453">
        <v>0</v>
      </c>
      <c r="J270" s="476">
        <f>(B270+B271+B272+B273+B274+B275-(E270+E271+E271))</f>
        <v>6.8599999999999994</v>
      </c>
      <c r="K270" s="472"/>
      <c r="L270" s="472"/>
    </row>
    <row r="271" spans="1:12" s="93" customFormat="1" x14ac:dyDescent="0.3">
      <c r="A271" s="461"/>
      <c r="B271" s="180">
        <v>2.5499999999999998</v>
      </c>
      <c r="C271" s="95">
        <v>1</v>
      </c>
      <c r="D271" s="480"/>
      <c r="E271" s="91">
        <v>0.8</v>
      </c>
      <c r="F271" s="91">
        <v>2</v>
      </c>
      <c r="G271" s="454"/>
      <c r="H271" s="454"/>
      <c r="I271" s="454"/>
      <c r="J271" s="477"/>
      <c r="K271" s="472"/>
      <c r="L271" s="472"/>
    </row>
    <row r="272" spans="1:12" s="93" customFormat="1" x14ac:dyDescent="0.3">
      <c r="A272" s="461"/>
      <c r="B272" s="180">
        <v>2.0499999999999998</v>
      </c>
      <c r="C272" s="95">
        <v>1</v>
      </c>
      <c r="D272" s="480"/>
      <c r="E272" s="91">
        <v>0</v>
      </c>
      <c r="F272" s="91">
        <v>0</v>
      </c>
      <c r="G272" s="454"/>
      <c r="H272" s="454"/>
      <c r="I272" s="454"/>
      <c r="J272" s="477"/>
      <c r="K272" s="472"/>
      <c r="L272" s="472"/>
    </row>
    <row r="273" spans="1:12" s="93" customFormat="1" x14ac:dyDescent="0.3">
      <c r="A273" s="461"/>
      <c r="B273" s="180">
        <v>0.2</v>
      </c>
      <c r="C273" s="95">
        <v>1</v>
      </c>
      <c r="D273" s="480"/>
      <c r="E273" s="91">
        <v>0</v>
      </c>
      <c r="F273" s="91">
        <v>0</v>
      </c>
      <c r="G273" s="454"/>
      <c r="H273" s="454"/>
      <c r="I273" s="454"/>
      <c r="J273" s="477"/>
      <c r="K273" s="472"/>
      <c r="L273" s="472"/>
    </row>
    <row r="274" spans="1:12" s="93" customFormat="1" x14ac:dyDescent="0.3">
      <c r="A274" s="461"/>
      <c r="B274" s="180">
        <v>0.16</v>
      </c>
      <c r="C274" s="95">
        <v>1</v>
      </c>
      <c r="D274" s="480"/>
      <c r="E274" s="91">
        <v>0</v>
      </c>
      <c r="F274" s="91">
        <v>0</v>
      </c>
      <c r="G274" s="454"/>
      <c r="H274" s="454"/>
      <c r="I274" s="454"/>
      <c r="J274" s="477"/>
      <c r="K274" s="472"/>
      <c r="L274" s="472"/>
    </row>
    <row r="275" spans="1:12" s="93" customFormat="1" x14ac:dyDescent="0.3">
      <c r="A275" s="462"/>
      <c r="B275" s="182">
        <v>1.35</v>
      </c>
      <c r="C275" s="176">
        <v>1</v>
      </c>
      <c r="D275" s="481"/>
      <c r="E275" s="91">
        <v>0</v>
      </c>
      <c r="F275" s="91">
        <v>0</v>
      </c>
      <c r="G275" s="458"/>
      <c r="H275" s="458"/>
      <c r="I275" s="458"/>
      <c r="J275" s="478"/>
      <c r="K275" s="472"/>
      <c r="L275" s="472"/>
    </row>
    <row r="276" spans="1:12" s="93" customFormat="1" x14ac:dyDescent="0.3">
      <c r="A276" s="460" t="s">
        <v>306</v>
      </c>
      <c r="B276" s="181">
        <v>2.5499999999999998</v>
      </c>
      <c r="C276" s="177">
        <v>1</v>
      </c>
      <c r="D276" s="486">
        <v>0.1</v>
      </c>
      <c r="E276" s="91">
        <v>0.9</v>
      </c>
      <c r="F276" s="91">
        <v>1</v>
      </c>
      <c r="G276" s="499">
        <v>4.34</v>
      </c>
      <c r="H276" s="499">
        <f>G276</f>
        <v>4.34</v>
      </c>
      <c r="I276" s="453">
        <v>0</v>
      </c>
      <c r="J276" s="476">
        <v>0</v>
      </c>
      <c r="K276" s="472"/>
      <c r="L276" s="472"/>
    </row>
    <row r="277" spans="1:12" s="93" customFormat="1" x14ac:dyDescent="0.3">
      <c r="A277" s="461"/>
      <c r="B277" s="180">
        <v>2.5499999999999998</v>
      </c>
      <c r="C277" s="95">
        <v>1</v>
      </c>
      <c r="D277" s="486"/>
      <c r="E277" s="91">
        <v>0</v>
      </c>
      <c r="F277" s="91">
        <v>0</v>
      </c>
      <c r="G277" s="499"/>
      <c r="H277" s="499"/>
      <c r="I277" s="454"/>
      <c r="J277" s="477"/>
      <c r="K277" s="472"/>
      <c r="L277" s="472"/>
    </row>
    <row r="278" spans="1:12" s="93" customFormat="1" x14ac:dyDescent="0.3">
      <c r="A278" s="461"/>
      <c r="B278" s="180">
        <v>1.7</v>
      </c>
      <c r="C278" s="95">
        <v>1</v>
      </c>
      <c r="D278" s="486"/>
      <c r="E278" s="91">
        <v>0</v>
      </c>
      <c r="F278" s="91">
        <v>0</v>
      </c>
      <c r="G278" s="499"/>
      <c r="H278" s="499"/>
      <c r="I278" s="454"/>
      <c r="J278" s="477"/>
      <c r="K278" s="472"/>
      <c r="L278" s="472"/>
    </row>
    <row r="279" spans="1:12" s="93" customFormat="1" x14ac:dyDescent="0.3">
      <c r="A279" s="462"/>
      <c r="B279" s="182">
        <v>1.7</v>
      </c>
      <c r="C279" s="176">
        <v>1</v>
      </c>
      <c r="D279" s="486"/>
      <c r="E279" s="91">
        <v>0</v>
      </c>
      <c r="F279" s="91">
        <v>0</v>
      </c>
      <c r="G279" s="499"/>
      <c r="H279" s="499"/>
      <c r="I279" s="458"/>
      <c r="J279" s="478"/>
      <c r="K279" s="472"/>
      <c r="L279" s="472"/>
    </row>
    <row r="280" spans="1:12" s="93" customFormat="1" x14ac:dyDescent="0.3">
      <c r="A280" s="460" t="s">
        <v>307</v>
      </c>
      <c r="B280" s="181">
        <v>2.12</v>
      </c>
      <c r="C280" s="177">
        <v>1</v>
      </c>
      <c r="D280" s="486">
        <v>0.1</v>
      </c>
      <c r="E280" s="91">
        <v>0.8</v>
      </c>
      <c r="F280" s="91">
        <v>1</v>
      </c>
      <c r="G280" s="499">
        <v>3.71</v>
      </c>
      <c r="H280" s="499">
        <f t="shared" ref="H280" si="20">G280</f>
        <v>3.71</v>
      </c>
      <c r="I280" s="453">
        <v>0</v>
      </c>
      <c r="J280" s="476">
        <v>0</v>
      </c>
      <c r="K280" s="472"/>
      <c r="L280" s="472"/>
    </row>
    <row r="281" spans="1:12" s="93" customFormat="1" x14ac:dyDescent="0.3">
      <c r="A281" s="461"/>
      <c r="B281" s="180">
        <v>2.12</v>
      </c>
      <c r="C281" s="95">
        <v>1</v>
      </c>
      <c r="D281" s="486"/>
      <c r="E281" s="91">
        <v>0</v>
      </c>
      <c r="F281" s="91">
        <v>0</v>
      </c>
      <c r="G281" s="499"/>
      <c r="H281" s="499"/>
      <c r="I281" s="454"/>
      <c r="J281" s="477"/>
      <c r="K281" s="472"/>
      <c r="L281" s="472"/>
    </row>
    <row r="282" spans="1:12" s="93" customFormat="1" x14ac:dyDescent="0.3">
      <c r="A282" s="461"/>
      <c r="B282" s="180">
        <v>1.75</v>
      </c>
      <c r="C282" s="95">
        <v>1</v>
      </c>
      <c r="D282" s="486"/>
      <c r="E282" s="91">
        <v>0</v>
      </c>
      <c r="F282" s="91">
        <v>0</v>
      </c>
      <c r="G282" s="499"/>
      <c r="H282" s="499"/>
      <c r="I282" s="454"/>
      <c r="J282" s="477"/>
      <c r="K282" s="472"/>
      <c r="L282" s="472"/>
    </row>
    <row r="283" spans="1:12" s="93" customFormat="1" x14ac:dyDescent="0.3">
      <c r="A283" s="462"/>
      <c r="B283" s="182">
        <v>1.75</v>
      </c>
      <c r="C283" s="176">
        <v>1</v>
      </c>
      <c r="D283" s="486"/>
      <c r="E283" s="91">
        <v>0</v>
      </c>
      <c r="F283" s="91">
        <v>0</v>
      </c>
      <c r="G283" s="499"/>
      <c r="H283" s="499"/>
      <c r="I283" s="458"/>
      <c r="J283" s="478"/>
      <c r="K283" s="472"/>
      <c r="L283" s="472"/>
    </row>
    <row r="284" spans="1:12" s="93" customFormat="1" x14ac:dyDescent="0.3">
      <c r="A284" s="460" t="s">
        <v>308</v>
      </c>
      <c r="B284" s="191">
        <v>1.3</v>
      </c>
      <c r="C284" s="177">
        <v>1</v>
      </c>
      <c r="D284" s="486">
        <v>0.1</v>
      </c>
      <c r="E284" s="91">
        <v>0.8</v>
      </c>
      <c r="F284" s="91">
        <v>1</v>
      </c>
      <c r="G284" s="499">
        <v>2.38</v>
      </c>
      <c r="H284" s="499">
        <f t="shared" ref="H284" si="21">G284</f>
        <v>2.38</v>
      </c>
      <c r="I284" s="453">
        <v>0</v>
      </c>
      <c r="J284" s="476">
        <v>0</v>
      </c>
      <c r="K284" s="472"/>
      <c r="L284" s="472"/>
    </row>
    <row r="285" spans="1:12" s="93" customFormat="1" x14ac:dyDescent="0.3">
      <c r="A285" s="461"/>
      <c r="B285" s="192">
        <v>1.3</v>
      </c>
      <c r="C285" s="95">
        <v>1</v>
      </c>
      <c r="D285" s="486"/>
      <c r="E285" s="91">
        <v>0</v>
      </c>
      <c r="F285" s="91">
        <v>0</v>
      </c>
      <c r="G285" s="499"/>
      <c r="H285" s="499"/>
      <c r="I285" s="454"/>
      <c r="J285" s="477"/>
      <c r="K285" s="472"/>
      <c r="L285" s="472"/>
    </row>
    <row r="286" spans="1:12" s="93" customFormat="1" x14ac:dyDescent="0.3">
      <c r="A286" s="461"/>
      <c r="B286" s="192">
        <v>1.83</v>
      </c>
      <c r="C286" s="95">
        <v>1</v>
      </c>
      <c r="D286" s="486"/>
      <c r="E286" s="91">
        <v>0</v>
      </c>
      <c r="F286" s="91">
        <v>0</v>
      </c>
      <c r="G286" s="499"/>
      <c r="H286" s="499"/>
      <c r="I286" s="454"/>
      <c r="J286" s="477"/>
      <c r="K286" s="472"/>
      <c r="L286" s="472"/>
    </row>
    <row r="287" spans="1:12" s="93" customFormat="1" x14ac:dyDescent="0.3">
      <c r="A287" s="462"/>
      <c r="B287" s="193">
        <v>1.83</v>
      </c>
      <c r="C287" s="176">
        <v>1</v>
      </c>
      <c r="D287" s="486"/>
      <c r="E287" s="91">
        <v>0</v>
      </c>
      <c r="F287" s="91">
        <v>0</v>
      </c>
      <c r="G287" s="499"/>
      <c r="H287" s="499"/>
      <c r="I287" s="458"/>
      <c r="J287" s="478"/>
      <c r="K287" s="472"/>
      <c r="L287" s="472"/>
    </row>
    <row r="288" spans="1:12" s="93" customFormat="1" x14ac:dyDescent="0.3">
      <c r="A288" s="461" t="s">
        <v>309</v>
      </c>
      <c r="B288" s="192">
        <v>2.93</v>
      </c>
      <c r="C288" s="178">
        <v>1</v>
      </c>
      <c r="D288" s="479">
        <v>0.1</v>
      </c>
      <c r="E288" s="92">
        <v>0.9</v>
      </c>
      <c r="F288" s="92">
        <v>2</v>
      </c>
      <c r="G288" s="493">
        <v>19.079999999999998</v>
      </c>
      <c r="H288" s="493">
        <f>G288</f>
        <v>19.079999999999998</v>
      </c>
      <c r="I288" s="453">
        <v>0</v>
      </c>
      <c r="J288" s="496">
        <f>B288+B289+B290+B290+B291+B292+B292+B292+B292+B292+B293+B294+B294+B295+B296+B297+B298-((E288*F288)+(E289*F289))</f>
        <v>17.73</v>
      </c>
      <c r="K288" s="472"/>
      <c r="L288" s="472"/>
    </row>
    <row r="289" spans="1:12" s="93" customFormat="1" x14ac:dyDescent="0.3">
      <c r="A289" s="461"/>
      <c r="B289" s="192">
        <v>0.63</v>
      </c>
      <c r="C289" s="99">
        <v>1</v>
      </c>
      <c r="D289" s="480"/>
      <c r="E289" s="91">
        <v>0.8</v>
      </c>
      <c r="F289" s="91">
        <v>5</v>
      </c>
      <c r="G289" s="494"/>
      <c r="H289" s="494"/>
      <c r="I289" s="454"/>
      <c r="J289" s="497"/>
      <c r="K289" s="472"/>
      <c r="L289" s="472"/>
    </row>
    <row r="290" spans="1:12" s="93" customFormat="1" x14ac:dyDescent="0.3">
      <c r="A290" s="461"/>
      <c r="B290" s="192">
        <v>0.35</v>
      </c>
      <c r="C290" s="99">
        <v>2</v>
      </c>
      <c r="D290" s="480"/>
      <c r="E290" s="91">
        <v>0</v>
      </c>
      <c r="F290" s="91">
        <v>0</v>
      </c>
      <c r="G290" s="494"/>
      <c r="H290" s="494"/>
      <c r="I290" s="454"/>
      <c r="J290" s="497"/>
      <c r="K290" s="472"/>
      <c r="L290" s="472"/>
    </row>
    <row r="291" spans="1:12" s="93" customFormat="1" x14ac:dyDescent="0.3">
      <c r="A291" s="461"/>
      <c r="B291" s="192">
        <v>2.15</v>
      </c>
      <c r="C291" s="99">
        <v>1</v>
      </c>
      <c r="D291" s="480"/>
      <c r="E291" s="91">
        <v>0</v>
      </c>
      <c r="F291" s="91">
        <v>0</v>
      </c>
      <c r="G291" s="494"/>
      <c r="H291" s="494"/>
      <c r="I291" s="454"/>
      <c r="J291" s="497"/>
      <c r="K291" s="472"/>
      <c r="L291" s="472"/>
    </row>
    <row r="292" spans="1:12" s="93" customFormat="1" x14ac:dyDescent="0.3">
      <c r="A292" s="461"/>
      <c r="B292" s="192">
        <v>1.2</v>
      </c>
      <c r="C292" s="99">
        <v>5</v>
      </c>
      <c r="D292" s="480"/>
      <c r="E292" s="91">
        <v>0</v>
      </c>
      <c r="F292" s="91">
        <v>0</v>
      </c>
      <c r="G292" s="494"/>
      <c r="H292" s="494"/>
      <c r="I292" s="454"/>
      <c r="J292" s="497"/>
      <c r="K292" s="472"/>
      <c r="L292" s="472"/>
    </row>
    <row r="293" spans="1:12" s="93" customFormat="1" x14ac:dyDescent="0.3">
      <c r="A293" s="461"/>
      <c r="B293" s="192">
        <v>0.1</v>
      </c>
      <c r="C293" s="99">
        <v>1</v>
      </c>
      <c r="D293" s="480"/>
      <c r="E293" s="91">
        <v>0</v>
      </c>
      <c r="F293" s="91">
        <v>0</v>
      </c>
      <c r="G293" s="494"/>
      <c r="H293" s="494"/>
      <c r="I293" s="454"/>
      <c r="J293" s="497"/>
      <c r="K293" s="472"/>
      <c r="L293" s="472"/>
    </row>
    <row r="294" spans="1:12" s="93" customFormat="1" x14ac:dyDescent="0.3">
      <c r="A294" s="461"/>
      <c r="B294" s="192">
        <v>0.15</v>
      </c>
      <c r="C294" s="99">
        <v>2</v>
      </c>
      <c r="D294" s="480"/>
      <c r="E294" s="91">
        <v>0</v>
      </c>
      <c r="F294" s="91">
        <v>0</v>
      </c>
      <c r="G294" s="494"/>
      <c r="H294" s="494"/>
      <c r="I294" s="454"/>
      <c r="J294" s="497"/>
      <c r="K294" s="472"/>
      <c r="L294" s="472"/>
    </row>
    <row r="295" spans="1:12" s="93" customFormat="1" x14ac:dyDescent="0.3">
      <c r="A295" s="461"/>
      <c r="B295" s="192">
        <v>1</v>
      </c>
      <c r="C295" s="99">
        <v>1</v>
      </c>
      <c r="D295" s="480"/>
      <c r="E295" s="91">
        <v>0</v>
      </c>
      <c r="F295" s="91">
        <v>0</v>
      </c>
      <c r="G295" s="494"/>
      <c r="H295" s="494"/>
      <c r="I295" s="454"/>
      <c r="J295" s="497"/>
      <c r="K295" s="472"/>
      <c r="L295" s="472"/>
    </row>
    <row r="296" spans="1:12" s="93" customFormat="1" x14ac:dyDescent="0.3">
      <c r="A296" s="461"/>
      <c r="B296" s="192">
        <v>2.7</v>
      </c>
      <c r="C296" s="99">
        <v>1</v>
      </c>
      <c r="D296" s="480"/>
      <c r="E296" s="91"/>
      <c r="F296" s="91"/>
      <c r="G296" s="494"/>
      <c r="H296" s="494"/>
      <c r="I296" s="454"/>
      <c r="J296" s="497"/>
      <c r="K296" s="472"/>
      <c r="L296" s="472"/>
    </row>
    <row r="297" spans="1:12" s="93" customFormat="1" x14ac:dyDescent="0.3">
      <c r="A297" s="461"/>
      <c r="B297" s="192">
        <v>4.5999999999999996</v>
      </c>
      <c r="C297" s="99">
        <v>1</v>
      </c>
      <c r="D297" s="480"/>
      <c r="E297" s="91"/>
      <c r="F297" s="91"/>
      <c r="G297" s="494"/>
      <c r="H297" s="494"/>
      <c r="I297" s="454"/>
      <c r="J297" s="497"/>
      <c r="K297" s="472"/>
      <c r="L297" s="472"/>
    </row>
    <row r="298" spans="1:12" s="93" customFormat="1" x14ac:dyDescent="0.3">
      <c r="A298" s="462"/>
      <c r="B298" s="193">
        <v>2.42</v>
      </c>
      <c r="C298" s="179">
        <v>1</v>
      </c>
      <c r="D298" s="481"/>
      <c r="E298" s="91">
        <v>0</v>
      </c>
      <c r="F298" s="91">
        <v>0</v>
      </c>
      <c r="G298" s="495"/>
      <c r="H298" s="495"/>
      <c r="I298" s="458"/>
      <c r="J298" s="498"/>
      <c r="K298" s="472"/>
      <c r="L298" s="472"/>
    </row>
    <row r="299" spans="1:12" s="93" customFormat="1" x14ac:dyDescent="0.3">
      <c r="A299" s="487" t="s">
        <v>310</v>
      </c>
      <c r="B299" s="181">
        <v>6.15</v>
      </c>
      <c r="C299" s="178">
        <v>1</v>
      </c>
      <c r="D299" s="479">
        <v>0.1</v>
      </c>
      <c r="E299" s="91">
        <v>0.9</v>
      </c>
      <c r="F299" s="91">
        <v>2</v>
      </c>
      <c r="G299" s="493">
        <v>30.32</v>
      </c>
      <c r="H299" s="493">
        <f>G299</f>
        <v>30.32</v>
      </c>
      <c r="I299" s="453">
        <v>0</v>
      </c>
      <c r="J299" s="496">
        <f>B299+B300+B301+B302+B303+B304+B305+B306-(E299*F299)</f>
        <v>26.2</v>
      </c>
      <c r="K299" s="472"/>
      <c r="L299" s="472"/>
    </row>
    <row r="300" spans="1:12" s="93" customFormat="1" x14ac:dyDescent="0.3">
      <c r="A300" s="488"/>
      <c r="B300" s="180">
        <v>3.38</v>
      </c>
      <c r="C300" s="99">
        <v>1</v>
      </c>
      <c r="D300" s="480"/>
      <c r="E300" s="91">
        <v>0</v>
      </c>
      <c r="F300" s="91">
        <v>0</v>
      </c>
      <c r="G300" s="494"/>
      <c r="H300" s="494"/>
      <c r="I300" s="454"/>
      <c r="J300" s="497"/>
      <c r="K300" s="472"/>
      <c r="L300" s="472"/>
    </row>
    <row r="301" spans="1:12" s="93" customFormat="1" x14ac:dyDescent="0.3">
      <c r="A301" s="488"/>
      <c r="B301" s="180">
        <v>0.65</v>
      </c>
      <c r="C301" s="99">
        <v>1</v>
      </c>
      <c r="D301" s="480"/>
      <c r="E301" s="91">
        <v>0</v>
      </c>
      <c r="F301" s="91">
        <v>0</v>
      </c>
      <c r="G301" s="494"/>
      <c r="H301" s="494"/>
      <c r="I301" s="454"/>
      <c r="J301" s="497"/>
      <c r="K301" s="472"/>
      <c r="L301" s="472"/>
    </row>
    <row r="302" spans="1:12" s="93" customFormat="1" x14ac:dyDescent="0.3">
      <c r="A302" s="488"/>
      <c r="B302" s="180">
        <v>4.47</v>
      </c>
      <c r="C302" s="99">
        <v>1</v>
      </c>
      <c r="D302" s="480"/>
      <c r="E302" s="91">
        <v>0</v>
      </c>
      <c r="F302" s="91">
        <v>0</v>
      </c>
      <c r="G302" s="494"/>
      <c r="H302" s="494"/>
      <c r="I302" s="454"/>
      <c r="J302" s="497"/>
      <c r="K302" s="472"/>
      <c r="L302" s="472"/>
    </row>
    <row r="303" spans="1:12" s="93" customFormat="1" x14ac:dyDescent="0.3">
      <c r="A303" s="488"/>
      <c r="B303" s="180">
        <v>4</v>
      </c>
      <c r="C303" s="99">
        <v>1</v>
      </c>
      <c r="D303" s="480"/>
      <c r="E303" s="91">
        <v>0</v>
      </c>
      <c r="F303" s="91">
        <v>0</v>
      </c>
      <c r="G303" s="494"/>
      <c r="H303" s="494"/>
      <c r="I303" s="454"/>
      <c r="J303" s="497"/>
      <c r="K303" s="472"/>
      <c r="L303" s="472"/>
    </row>
    <row r="304" spans="1:12" s="93" customFormat="1" x14ac:dyDescent="0.3">
      <c r="A304" s="488"/>
      <c r="B304" s="180">
        <v>1.9</v>
      </c>
      <c r="C304" s="99">
        <v>1</v>
      </c>
      <c r="D304" s="480"/>
      <c r="E304" s="91">
        <v>0</v>
      </c>
      <c r="F304" s="91">
        <v>0</v>
      </c>
      <c r="G304" s="494"/>
      <c r="H304" s="494"/>
      <c r="I304" s="454"/>
      <c r="J304" s="497"/>
      <c r="K304" s="472"/>
      <c r="L304" s="472"/>
    </row>
    <row r="305" spans="1:12" s="93" customFormat="1" x14ac:dyDescent="0.3">
      <c r="A305" s="488"/>
      <c r="B305" s="180">
        <v>1.5</v>
      </c>
      <c r="C305" s="99">
        <v>1</v>
      </c>
      <c r="D305" s="480"/>
      <c r="E305" s="91">
        <v>0</v>
      </c>
      <c r="F305" s="91">
        <v>0</v>
      </c>
      <c r="G305" s="494"/>
      <c r="H305" s="494"/>
      <c r="I305" s="454"/>
      <c r="J305" s="497"/>
      <c r="K305" s="472"/>
      <c r="L305" s="472"/>
    </row>
    <row r="306" spans="1:12" s="93" customFormat="1" x14ac:dyDescent="0.3">
      <c r="A306" s="489"/>
      <c r="B306" s="182">
        <v>5.95</v>
      </c>
      <c r="C306" s="179">
        <v>1</v>
      </c>
      <c r="D306" s="481"/>
      <c r="E306" s="91">
        <v>0</v>
      </c>
      <c r="F306" s="91">
        <v>0</v>
      </c>
      <c r="G306" s="495"/>
      <c r="H306" s="495"/>
      <c r="I306" s="458"/>
      <c r="J306" s="498"/>
      <c r="K306" s="472"/>
      <c r="L306" s="472"/>
    </row>
    <row r="307" spans="1:12" s="93" customFormat="1" x14ac:dyDescent="0.3">
      <c r="A307" s="460" t="s">
        <v>324</v>
      </c>
      <c r="B307" s="191">
        <v>2.4500000000000002</v>
      </c>
      <c r="C307" s="178">
        <v>1</v>
      </c>
      <c r="D307" s="479">
        <v>0.1</v>
      </c>
      <c r="E307" s="91">
        <v>0</v>
      </c>
      <c r="F307" s="91">
        <v>0</v>
      </c>
      <c r="G307" s="493">
        <v>7.11</v>
      </c>
      <c r="H307" s="493">
        <f>G307</f>
        <v>7.11</v>
      </c>
      <c r="I307" s="453">
        <v>0</v>
      </c>
      <c r="J307" s="476">
        <v>0</v>
      </c>
      <c r="K307" s="472"/>
      <c r="L307" s="472"/>
    </row>
    <row r="308" spans="1:12" s="93" customFormat="1" x14ac:dyDescent="0.3">
      <c r="A308" s="461"/>
      <c r="B308" s="192">
        <v>3.1</v>
      </c>
      <c r="C308" s="99">
        <v>1</v>
      </c>
      <c r="D308" s="480"/>
      <c r="E308" s="91">
        <v>0</v>
      </c>
      <c r="F308" s="91">
        <v>0</v>
      </c>
      <c r="G308" s="494"/>
      <c r="H308" s="494"/>
      <c r="I308" s="454"/>
      <c r="J308" s="477"/>
      <c r="K308" s="472"/>
      <c r="L308" s="472"/>
    </row>
    <row r="309" spans="1:12" s="93" customFormat="1" x14ac:dyDescent="0.3">
      <c r="A309" s="461"/>
      <c r="B309" s="192">
        <v>1.8</v>
      </c>
      <c r="C309" s="99">
        <v>1</v>
      </c>
      <c r="D309" s="480"/>
      <c r="E309" s="91">
        <v>0</v>
      </c>
      <c r="F309" s="91">
        <v>0</v>
      </c>
      <c r="G309" s="494"/>
      <c r="H309" s="494"/>
      <c r="I309" s="454"/>
      <c r="J309" s="477"/>
      <c r="K309" s="472"/>
      <c r="L309" s="472"/>
    </row>
    <row r="310" spans="1:12" s="93" customFormat="1" x14ac:dyDescent="0.3">
      <c r="A310" s="461"/>
      <c r="B310" s="192">
        <v>0.75</v>
      </c>
      <c r="C310" s="99">
        <v>1</v>
      </c>
      <c r="D310" s="480"/>
      <c r="E310" s="91">
        <v>0</v>
      </c>
      <c r="F310" s="91">
        <v>0</v>
      </c>
      <c r="G310" s="494"/>
      <c r="H310" s="494"/>
      <c r="I310" s="454"/>
      <c r="J310" s="477"/>
      <c r="K310" s="472"/>
      <c r="L310" s="472"/>
    </row>
    <row r="311" spans="1:12" s="93" customFormat="1" x14ac:dyDescent="0.3">
      <c r="A311" s="461"/>
      <c r="B311" s="192">
        <v>0.65</v>
      </c>
      <c r="C311" s="99">
        <v>1</v>
      </c>
      <c r="D311" s="480"/>
      <c r="E311" s="91">
        <v>0</v>
      </c>
      <c r="F311" s="91">
        <v>0</v>
      </c>
      <c r="G311" s="494"/>
      <c r="H311" s="494"/>
      <c r="I311" s="454"/>
      <c r="J311" s="477"/>
      <c r="K311" s="472"/>
      <c r="L311" s="472"/>
    </row>
    <row r="312" spans="1:12" s="93" customFormat="1" x14ac:dyDescent="0.3">
      <c r="A312" s="462"/>
      <c r="B312" s="193">
        <v>2.35</v>
      </c>
      <c r="C312" s="179">
        <v>1</v>
      </c>
      <c r="D312" s="481"/>
      <c r="E312" s="91">
        <v>0</v>
      </c>
      <c r="F312" s="91">
        <v>0</v>
      </c>
      <c r="G312" s="495"/>
      <c r="H312" s="495"/>
      <c r="I312" s="458"/>
      <c r="J312" s="478"/>
      <c r="K312" s="472"/>
      <c r="L312" s="472"/>
    </row>
    <row r="313" spans="1:12" s="93" customFormat="1" x14ac:dyDescent="0.3">
      <c r="A313" s="460" t="s">
        <v>325</v>
      </c>
      <c r="B313" s="191">
        <v>2</v>
      </c>
      <c r="C313" s="178">
        <v>1</v>
      </c>
      <c r="D313" s="479">
        <v>0.1</v>
      </c>
      <c r="E313" s="91">
        <v>0</v>
      </c>
      <c r="F313" s="91">
        <v>0</v>
      </c>
      <c r="G313" s="493">
        <v>2</v>
      </c>
      <c r="H313" s="493">
        <f>G313</f>
        <v>2</v>
      </c>
      <c r="I313" s="453">
        <v>0</v>
      </c>
      <c r="J313" s="476">
        <v>0</v>
      </c>
      <c r="K313" s="472"/>
      <c r="L313" s="472"/>
    </row>
    <row r="314" spans="1:12" s="93" customFormat="1" x14ac:dyDescent="0.3">
      <c r="A314" s="461"/>
      <c r="B314" s="192">
        <v>2</v>
      </c>
      <c r="C314" s="99">
        <v>1</v>
      </c>
      <c r="D314" s="480"/>
      <c r="E314" s="91">
        <v>0</v>
      </c>
      <c r="F314" s="91">
        <v>0</v>
      </c>
      <c r="G314" s="494"/>
      <c r="H314" s="494"/>
      <c r="I314" s="454"/>
      <c r="J314" s="477"/>
      <c r="K314" s="472"/>
      <c r="L314" s="472"/>
    </row>
    <row r="315" spans="1:12" s="93" customFormat="1" x14ac:dyDescent="0.3">
      <c r="A315" s="461"/>
      <c r="B315" s="192">
        <v>1</v>
      </c>
      <c r="C315" s="99">
        <v>1</v>
      </c>
      <c r="D315" s="480"/>
      <c r="E315" s="91">
        <v>0</v>
      </c>
      <c r="F315" s="91">
        <v>0</v>
      </c>
      <c r="G315" s="494"/>
      <c r="H315" s="494"/>
      <c r="I315" s="454"/>
      <c r="J315" s="477"/>
      <c r="K315" s="472"/>
      <c r="L315" s="472"/>
    </row>
    <row r="316" spans="1:12" s="93" customFormat="1" x14ac:dyDescent="0.3">
      <c r="A316" s="462"/>
      <c r="B316" s="193">
        <v>1</v>
      </c>
      <c r="C316" s="179">
        <v>1</v>
      </c>
      <c r="D316" s="481"/>
      <c r="E316" s="91">
        <v>0</v>
      </c>
      <c r="F316" s="91">
        <v>0</v>
      </c>
      <c r="G316" s="495"/>
      <c r="H316" s="495"/>
      <c r="I316" s="458"/>
      <c r="J316" s="477"/>
      <c r="K316" s="472"/>
      <c r="L316" s="472"/>
    </row>
    <row r="317" spans="1:12" s="93" customFormat="1" x14ac:dyDescent="0.3">
      <c r="A317" s="460" t="s">
        <v>326</v>
      </c>
      <c r="B317" s="191">
        <v>2.21</v>
      </c>
      <c r="C317" s="178">
        <v>1</v>
      </c>
      <c r="D317" s="479">
        <v>0.1</v>
      </c>
      <c r="E317" s="91">
        <v>0</v>
      </c>
      <c r="F317" s="91">
        <v>0</v>
      </c>
      <c r="G317" s="493">
        <v>4</v>
      </c>
      <c r="H317" s="493">
        <v>4</v>
      </c>
      <c r="I317" s="453">
        <v>0</v>
      </c>
      <c r="J317" s="476">
        <v>0</v>
      </c>
      <c r="K317" s="472"/>
      <c r="L317" s="472"/>
    </row>
    <row r="318" spans="1:12" s="93" customFormat="1" x14ac:dyDescent="0.3">
      <c r="A318" s="461"/>
      <c r="B318" s="192">
        <v>2.21</v>
      </c>
      <c r="C318" s="99">
        <v>1</v>
      </c>
      <c r="D318" s="480"/>
      <c r="E318" s="91">
        <v>0</v>
      </c>
      <c r="F318" s="91">
        <v>0</v>
      </c>
      <c r="G318" s="494"/>
      <c r="H318" s="494"/>
      <c r="I318" s="454"/>
      <c r="J318" s="477"/>
      <c r="K318" s="472"/>
      <c r="L318" s="472"/>
    </row>
    <row r="319" spans="1:12" s="93" customFormat="1" x14ac:dyDescent="0.3">
      <c r="A319" s="461"/>
      <c r="B319" s="192">
        <v>1.8</v>
      </c>
      <c r="C319" s="99">
        <v>1</v>
      </c>
      <c r="D319" s="480"/>
      <c r="E319" s="91">
        <v>0</v>
      </c>
      <c r="F319" s="91">
        <v>0</v>
      </c>
      <c r="G319" s="494"/>
      <c r="H319" s="494"/>
      <c r="I319" s="454"/>
      <c r="J319" s="477"/>
      <c r="K319" s="472"/>
      <c r="L319" s="472"/>
    </row>
    <row r="320" spans="1:12" s="93" customFormat="1" x14ac:dyDescent="0.3">
      <c r="A320" s="462"/>
      <c r="B320" s="193">
        <v>1.8</v>
      </c>
      <c r="C320" s="179">
        <v>1</v>
      </c>
      <c r="D320" s="481"/>
      <c r="E320" s="91">
        <v>0</v>
      </c>
      <c r="F320" s="91">
        <v>0</v>
      </c>
      <c r="G320" s="495"/>
      <c r="H320" s="495"/>
      <c r="I320" s="458"/>
      <c r="J320" s="477"/>
      <c r="K320" s="472"/>
      <c r="L320" s="472"/>
    </row>
    <row r="321" spans="1:12" s="93" customFormat="1" x14ac:dyDescent="0.3">
      <c r="A321" s="460" t="s">
        <v>327</v>
      </c>
      <c r="B321" s="191">
        <v>2.23</v>
      </c>
      <c r="C321" s="178">
        <v>1</v>
      </c>
      <c r="D321" s="479">
        <v>0.1</v>
      </c>
      <c r="E321" s="91">
        <v>0</v>
      </c>
      <c r="F321" s="91">
        <v>0</v>
      </c>
      <c r="G321" s="493">
        <v>4</v>
      </c>
      <c r="H321" s="493">
        <f>G321</f>
        <v>4</v>
      </c>
      <c r="I321" s="453">
        <v>0</v>
      </c>
      <c r="J321" s="476">
        <v>0</v>
      </c>
      <c r="K321" s="472"/>
      <c r="L321" s="472"/>
    </row>
    <row r="322" spans="1:12" s="93" customFormat="1" x14ac:dyDescent="0.3">
      <c r="A322" s="461"/>
      <c r="B322" s="192">
        <v>2.23</v>
      </c>
      <c r="C322" s="99">
        <v>1</v>
      </c>
      <c r="D322" s="480"/>
      <c r="E322" s="91">
        <v>0</v>
      </c>
      <c r="F322" s="91">
        <v>0</v>
      </c>
      <c r="G322" s="494"/>
      <c r="H322" s="494"/>
      <c r="I322" s="454"/>
      <c r="J322" s="477"/>
      <c r="K322" s="472"/>
      <c r="L322" s="472"/>
    </row>
    <row r="323" spans="1:12" s="93" customFormat="1" x14ac:dyDescent="0.3">
      <c r="A323" s="461"/>
      <c r="B323" s="192">
        <v>1.8</v>
      </c>
      <c r="C323" s="99">
        <v>1</v>
      </c>
      <c r="D323" s="480"/>
      <c r="E323" s="91">
        <v>0</v>
      </c>
      <c r="F323" s="91">
        <v>0</v>
      </c>
      <c r="G323" s="494"/>
      <c r="H323" s="494"/>
      <c r="I323" s="454"/>
      <c r="J323" s="477"/>
      <c r="K323" s="472"/>
      <c r="L323" s="472"/>
    </row>
    <row r="324" spans="1:12" s="93" customFormat="1" x14ac:dyDescent="0.3">
      <c r="A324" s="462"/>
      <c r="B324" s="193">
        <v>1.8</v>
      </c>
      <c r="C324" s="179">
        <v>1</v>
      </c>
      <c r="D324" s="481"/>
      <c r="E324" s="91">
        <v>0</v>
      </c>
      <c r="F324" s="91">
        <v>0</v>
      </c>
      <c r="G324" s="495"/>
      <c r="H324" s="495"/>
      <c r="I324" s="458"/>
      <c r="J324" s="477"/>
      <c r="K324" s="472"/>
      <c r="L324" s="472"/>
    </row>
    <row r="325" spans="1:12" s="93" customFormat="1" x14ac:dyDescent="0.3">
      <c r="A325" s="460" t="s">
        <v>328</v>
      </c>
      <c r="B325" s="191">
        <v>1.5</v>
      </c>
      <c r="C325" s="178">
        <v>1</v>
      </c>
      <c r="D325" s="479">
        <v>0.1</v>
      </c>
      <c r="E325" s="91">
        <v>0</v>
      </c>
      <c r="F325" s="91">
        <v>0</v>
      </c>
      <c r="G325" s="493">
        <v>5.89</v>
      </c>
      <c r="H325" s="493">
        <f>G325</f>
        <v>5.89</v>
      </c>
      <c r="I325" s="453">
        <v>0</v>
      </c>
      <c r="J325" s="476">
        <v>0</v>
      </c>
      <c r="K325" s="472"/>
      <c r="L325" s="472"/>
    </row>
    <row r="326" spans="1:12" s="93" customFormat="1" x14ac:dyDescent="0.3">
      <c r="A326" s="461"/>
      <c r="B326" s="192">
        <f>3.37-1.08</f>
        <v>2.29</v>
      </c>
      <c r="C326" s="99">
        <v>1</v>
      </c>
      <c r="D326" s="480"/>
      <c r="E326" s="91">
        <v>0</v>
      </c>
      <c r="F326" s="91">
        <v>0</v>
      </c>
      <c r="G326" s="494"/>
      <c r="H326" s="494"/>
      <c r="I326" s="454"/>
      <c r="J326" s="477"/>
      <c r="K326" s="472"/>
      <c r="L326" s="472"/>
    </row>
    <row r="327" spans="1:12" s="93" customFormat="1" x14ac:dyDescent="0.3">
      <c r="A327" s="461"/>
      <c r="B327" s="192">
        <v>0.45</v>
      </c>
      <c r="C327" s="99">
        <v>1</v>
      </c>
      <c r="D327" s="480"/>
      <c r="E327" s="91">
        <v>0</v>
      </c>
      <c r="F327" s="91">
        <v>0</v>
      </c>
      <c r="G327" s="494"/>
      <c r="H327" s="494"/>
      <c r="I327" s="454"/>
      <c r="J327" s="477"/>
      <c r="K327" s="472"/>
      <c r="L327" s="472"/>
    </row>
    <row r="328" spans="1:12" s="93" customFormat="1" x14ac:dyDescent="0.3">
      <c r="A328" s="461"/>
      <c r="B328" s="192">
        <v>1.08</v>
      </c>
      <c r="C328" s="99">
        <v>1</v>
      </c>
      <c r="D328" s="480"/>
      <c r="E328" s="91">
        <v>0</v>
      </c>
      <c r="F328" s="91">
        <v>0</v>
      </c>
      <c r="G328" s="494"/>
      <c r="H328" s="494"/>
      <c r="I328" s="454"/>
      <c r="J328" s="477"/>
      <c r="K328" s="472"/>
      <c r="L328" s="472"/>
    </row>
    <row r="329" spans="1:12" s="93" customFormat="1" x14ac:dyDescent="0.3">
      <c r="A329" s="462"/>
      <c r="B329" s="193">
        <v>1.95</v>
      </c>
      <c r="C329" s="179">
        <v>1</v>
      </c>
      <c r="D329" s="481"/>
      <c r="E329" s="91">
        <v>0</v>
      </c>
      <c r="F329" s="91">
        <v>0</v>
      </c>
      <c r="G329" s="495"/>
      <c r="H329" s="495"/>
      <c r="I329" s="458"/>
      <c r="J329" s="478"/>
      <c r="K329" s="472"/>
      <c r="L329" s="472"/>
    </row>
    <row r="330" spans="1:12" s="93" customFormat="1" x14ac:dyDescent="0.3">
      <c r="A330" s="460" t="s">
        <v>329</v>
      </c>
      <c r="B330" s="191">
        <v>4.5999999999999996</v>
      </c>
      <c r="C330" s="178">
        <v>1</v>
      </c>
      <c r="D330" s="479">
        <v>0.1</v>
      </c>
      <c r="E330" s="91">
        <v>0.9</v>
      </c>
      <c r="F330" s="91">
        <v>1</v>
      </c>
      <c r="G330" s="493">
        <v>16.100000000000001</v>
      </c>
      <c r="H330" s="493">
        <f>G330</f>
        <v>16.100000000000001</v>
      </c>
      <c r="I330" s="453">
        <v>0</v>
      </c>
      <c r="J330" s="496">
        <f>B330+B331+B332+B333-E330</f>
        <v>15.26</v>
      </c>
      <c r="K330" s="472"/>
      <c r="L330" s="472"/>
    </row>
    <row r="331" spans="1:12" s="93" customFormat="1" x14ac:dyDescent="0.3">
      <c r="A331" s="461"/>
      <c r="B331" s="192">
        <v>4.5999999999999996</v>
      </c>
      <c r="C331" s="99">
        <v>1</v>
      </c>
      <c r="D331" s="480"/>
      <c r="E331" s="91">
        <v>0</v>
      </c>
      <c r="F331" s="91">
        <v>0</v>
      </c>
      <c r="G331" s="494"/>
      <c r="H331" s="494"/>
      <c r="I331" s="454"/>
      <c r="J331" s="497"/>
      <c r="K331" s="472"/>
      <c r="L331" s="472"/>
    </row>
    <row r="332" spans="1:12" s="93" customFormat="1" x14ac:dyDescent="0.3">
      <c r="A332" s="461"/>
      <c r="B332" s="192">
        <v>3.48</v>
      </c>
      <c r="C332" s="99">
        <v>1</v>
      </c>
      <c r="D332" s="480"/>
      <c r="E332" s="91">
        <v>0</v>
      </c>
      <c r="F332" s="91">
        <v>0</v>
      </c>
      <c r="G332" s="494"/>
      <c r="H332" s="494"/>
      <c r="I332" s="454"/>
      <c r="J332" s="497"/>
      <c r="K332" s="472"/>
      <c r="L332" s="472"/>
    </row>
    <row r="333" spans="1:12" s="93" customFormat="1" x14ac:dyDescent="0.3">
      <c r="A333" s="462"/>
      <c r="B333" s="193">
        <v>3.48</v>
      </c>
      <c r="C333" s="179">
        <v>1</v>
      </c>
      <c r="D333" s="481"/>
      <c r="E333" s="91">
        <v>0</v>
      </c>
      <c r="F333" s="91">
        <v>0</v>
      </c>
      <c r="G333" s="495"/>
      <c r="H333" s="495"/>
      <c r="I333" s="458"/>
      <c r="J333" s="498"/>
      <c r="K333" s="472"/>
      <c r="L333" s="472"/>
    </row>
    <row r="334" spans="1:12" s="93" customFormat="1" x14ac:dyDescent="0.3">
      <c r="A334" s="461" t="s">
        <v>331</v>
      </c>
      <c r="B334" s="192">
        <v>3.38</v>
      </c>
      <c r="C334" s="99">
        <v>1</v>
      </c>
      <c r="D334" s="480">
        <v>0.1</v>
      </c>
      <c r="E334" s="92">
        <v>0</v>
      </c>
      <c r="F334" s="92">
        <v>0</v>
      </c>
      <c r="G334" s="494">
        <v>4.0599999999999996</v>
      </c>
      <c r="H334" s="494">
        <f>G334</f>
        <v>4.0599999999999996</v>
      </c>
      <c r="I334" s="453">
        <v>0</v>
      </c>
      <c r="J334" s="476">
        <v>0</v>
      </c>
      <c r="K334" s="472"/>
      <c r="L334" s="472"/>
    </row>
    <row r="335" spans="1:12" s="93" customFormat="1" x14ac:dyDescent="0.3">
      <c r="A335" s="461"/>
      <c r="B335" s="192">
        <v>3.38</v>
      </c>
      <c r="C335" s="99">
        <v>1</v>
      </c>
      <c r="D335" s="480"/>
      <c r="E335" s="91">
        <v>0</v>
      </c>
      <c r="F335" s="91">
        <v>0</v>
      </c>
      <c r="G335" s="494"/>
      <c r="H335" s="494"/>
      <c r="I335" s="454"/>
      <c r="J335" s="477"/>
      <c r="K335" s="472"/>
      <c r="L335" s="472"/>
    </row>
    <row r="336" spans="1:12" s="93" customFormat="1" x14ac:dyDescent="0.3">
      <c r="A336" s="461"/>
      <c r="B336" s="192">
        <v>1.2</v>
      </c>
      <c r="C336" s="99">
        <v>1</v>
      </c>
      <c r="D336" s="480"/>
      <c r="E336" s="91">
        <v>0</v>
      </c>
      <c r="F336" s="91">
        <v>0</v>
      </c>
      <c r="G336" s="494"/>
      <c r="H336" s="494"/>
      <c r="I336" s="454"/>
      <c r="J336" s="477"/>
      <c r="K336" s="472"/>
      <c r="L336" s="472"/>
    </row>
    <row r="337" spans="1:12" s="93" customFormat="1" ht="15" thickBot="1" x14ac:dyDescent="0.35">
      <c r="A337" s="485"/>
      <c r="B337" s="333">
        <v>1.2</v>
      </c>
      <c r="C337" s="334">
        <v>1</v>
      </c>
      <c r="D337" s="503"/>
      <c r="E337" s="335">
        <v>0</v>
      </c>
      <c r="F337" s="335">
        <v>0</v>
      </c>
      <c r="G337" s="504"/>
      <c r="H337" s="504"/>
      <c r="I337" s="505"/>
      <c r="J337" s="506"/>
      <c r="K337" s="472"/>
      <c r="L337" s="472"/>
    </row>
    <row r="338" spans="1:12" s="93" customFormat="1" ht="25.2" customHeight="1" thickBot="1" x14ac:dyDescent="0.35">
      <c r="A338" s="500" t="s">
        <v>346</v>
      </c>
      <c r="B338" s="501"/>
      <c r="C338" s="501"/>
      <c r="D338" s="501"/>
      <c r="E338" s="501"/>
      <c r="F338" s="502"/>
      <c r="G338" s="96">
        <f>SUM(G236:G337)</f>
        <v>229.54999999999998</v>
      </c>
      <c r="H338" s="96">
        <f>SUM(H236:H337)</f>
        <v>155.92999999999998</v>
      </c>
      <c r="I338" s="96">
        <f>SUM(I236:I337)</f>
        <v>79.89</v>
      </c>
      <c r="J338" s="96">
        <f>SUM(J236:J337)</f>
        <v>153.77000000000001</v>
      </c>
      <c r="K338" s="183"/>
      <c r="L338" s="183"/>
    </row>
    <row r="339" spans="1:12" s="93" customFormat="1" x14ac:dyDescent="0.3">
      <c r="A339" s="101"/>
      <c r="B339" s="97"/>
      <c r="C339" s="97"/>
      <c r="D339" s="97"/>
      <c r="E339" s="97"/>
      <c r="F339" s="97"/>
      <c r="G339" s="97"/>
      <c r="H339" s="102"/>
      <c r="I339" s="102"/>
      <c r="J339" s="98"/>
      <c r="K339" s="183"/>
      <c r="L339" s="183"/>
    </row>
    <row r="340" spans="1:12" s="93" customFormat="1" x14ac:dyDescent="0.3">
      <c r="A340" s="101"/>
      <c r="B340" s="97"/>
      <c r="C340" s="97"/>
      <c r="D340" s="97"/>
      <c r="E340" s="97"/>
      <c r="F340" s="97"/>
      <c r="G340" s="97"/>
      <c r="H340" s="98"/>
      <c r="I340" s="98"/>
      <c r="J340" s="98"/>
      <c r="K340" s="183"/>
      <c r="L340" s="183"/>
    </row>
    <row r="341" spans="1:12" s="93" customFormat="1" x14ac:dyDescent="0.3">
      <c r="A341" s="101"/>
      <c r="B341" s="97"/>
      <c r="C341" s="97"/>
      <c r="D341" s="97"/>
      <c r="E341" s="97"/>
      <c r="F341" s="97"/>
      <c r="G341" s="97"/>
      <c r="H341" s="98"/>
      <c r="I341" s="98"/>
      <c r="J341" s="98"/>
      <c r="K341" s="183"/>
      <c r="L341" s="183"/>
    </row>
    <row r="342" spans="1:12" s="93" customFormat="1" x14ac:dyDescent="0.3">
      <c r="A342" s="101"/>
      <c r="B342" s="97"/>
      <c r="C342" s="97"/>
      <c r="D342" s="97"/>
      <c r="E342" s="97"/>
      <c r="F342" s="97"/>
      <c r="G342" s="97"/>
      <c r="H342" s="98"/>
      <c r="I342" s="98"/>
      <c r="J342" s="98"/>
      <c r="K342" s="183"/>
      <c r="L342" s="183"/>
    </row>
    <row r="343" spans="1:12" s="93" customFormat="1" x14ac:dyDescent="0.3">
      <c r="A343" s="101"/>
      <c r="B343" s="97"/>
      <c r="C343" s="97"/>
      <c r="D343" s="97"/>
      <c r="E343" s="97"/>
      <c r="F343" s="97"/>
      <c r="G343" s="97"/>
      <c r="H343" s="98"/>
      <c r="I343" s="98"/>
      <c r="J343" s="98"/>
      <c r="K343" s="183"/>
      <c r="L343" s="183"/>
    </row>
    <row r="344" spans="1:12" s="93" customFormat="1" x14ac:dyDescent="0.3">
      <c r="A344" s="101"/>
      <c r="B344" s="97"/>
      <c r="C344" s="97"/>
      <c r="D344" s="97"/>
      <c r="E344" s="97"/>
      <c r="F344" s="97"/>
      <c r="G344" s="97"/>
      <c r="H344" s="98"/>
      <c r="I344" s="98"/>
      <c r="J344" s="98"/>
      <c r="K344" s="183"/>
      <c r="L344" s="183"/>
    </row>
    <row r="345" spans="1:12" s="93" customFormat="1" x14ac:dyDescent="0.3">
      <c r="A345" s="101"/>
      <c r="B345" s="97"/>
      <c r="C345" s="97"/>
      <c r="D345" s="97"/>
      <c r="E345" s="97"/>
      <c r="F345" s="97"/>
      <c r="G345" s="97"/>
      <c r="H345" s="98"/>
      <c r="I345" s="98"/>
      <c r="J345" s="98"/>
      <c r="K345" s="183"/>
      <c r="L345" s="183"/>
    </row>
    <row r="346" spans="1:12" s="93" customFormat="1" x14ac:dyDescent="0.3">
      <c r="A346" s="101"/>
      <c r="B346" s="97"/>
      <c r="C346" s="97"/>
      <c r="D346" s="97"/>
      <c r="E346" s="97"/>
      <c r="F346" s="97"/>
      <c r="G346" s="97"/>
      <c r="H346" s="98"/>
      <c r="I346" s="98"/>
      <c r="J346" s="98"/>
      <c r="K346" s="98"/>
    </row>
    <row r="347" spans="1:12" s="93" customFormat="1" x14ac:dyDescent="0.3">
      <c r="A347" s="101"/>
      <c r="B347" s="97"/>
      <c r="C347" s="97"/>
      <c r="D347" s="97"/>
      <c r="E347" s="97"/>
      <c r="F347" s="97"/>
      <c r="G347" s="97"/>
      <c r="H347" s="98"/>
      <c r="I347" s="98"/>
      <c r="J347" s="98"/>
      <c r="K347" s="98"/>
    </row>
    <row r="348" spans="1:12" s="93" customFormat="1" x14ac:dyDescent="0.3">
      <c r="A348" s="101"/>
      <c r="B348" s="97"/>
      <c r="C348" s="97"/>
      <c r="D348" s="97"/>
      <c r="E348" s="97"/>
      <c r="F348" s="97"/>
      <c r="G348" s="97"/>
      <c r="H348" s="98"/>
      <c r="I348" s="98"/>
      <c r="J348" s="98"/>
      <c r="K348" s="98"/>
    </row>
    <row r="349" spans="1:12" s="93" customFormat="1" x14ac:dyDescent="0.3">
      <c r="A349" s="101"/>
      <c r="B349" s="97"/>
      <c r="C349" s="97"/>
      <c r="D349" s="97"/>
      <c r="E349" s="97"/>
      <c r="F349" s="97"/>
      <c r="G349" s="97"/>
      <c r="H349" s="98"/>
      <c r="I349" s="98"/>
      <c r="J349" s="98"/>
      <c r="K349" s="98"/>
    </row>
    <row r="350" spans="1:12" s="93" customFormat="1" x14ac:dyDescent="0.3">
      <c r="A350" s="101"/>
      <c r="B350" s="97"/>
      <c r="C350" s="97"/>
      <c r="D350" s="97"/>
      <c r="E350" s="97"/>
      <c r="F350" s="97"/>
      <c r="G350" s="97"/>
      <c r="H350" s="98"/>
      <c r="I350" s="98"/>
      <c r="J350" s="98"/>
      <c r="K350" s="98"/>
    </row>
    <row r="351" spans="1:12" s="93" customFormat="1" x14ac:dyDescent="0.3">
      <c r="A351" s="101"/>
      <c r="B351" s="97"/>
      <c r="C351" s="97"/>
      <c r="D351" s="97"/>
      <c r="E351" s="97"/>
      <c r="F351" s="97"/>
      <c r="G351" s="97"/>
      <c r="H351" s="98"/>
      <c r="I351" s="98"/>
      <c r="J351" s="98"/>
      <c r="K351" s="98"/>
    </row>
    <row r="352" spans="1:12" s="93" customFormat="1" x14ac:dyDescent="0.3">
      <c r="A352" s="101"/>
      <c r="B352" s="97"/>
      <c r="C352" s="97"/>
      <c r="D352" s="97"/>
      <c r="E352" s="97"/>
      <c r="F352" s="97"/>
      <c r="G352" s="97"/>
      <c r="H352" s="98"/>
      <c r="I352" s="98"/>
      <c r="J352" s="98"/>
      <c r="K352" s="98"/>
    </row>
    <row r="353" spans="1:11" s="93" customFormat="1" x14ac:dyDescent="0.3">
      <c r="A353" s="101"/>
      <c r="B353" s="97"/>
      <c r="C353" s="97"/>
      <c r="D353" s="97"/>
      <c r="E353" s="97"/>
      <c r="F353" s="97"/>
      <c r="G353" s="97"/>
      <c r="H353" s="98"/>
      <c r="I353" s="98"/>
      <c r="J353" s="98"/>
      <c r="K353" s="98"/>
    </row>
    <row r="354" spans="1:11" s="93" customFormat="1" x14ac:dyDescent="0.3">
      <c r="A354" s="101"/>
      <c r="B354" s="97"/>
      <c r="C354" s="97"/>
      <c r="D354" s="97"/>
      <c r="E354" s="97"/>
      <c r="F354" s="97"/>
      <c r="G354" s="97"/>
      <c r="H354" s="98"/>
      <c r="I354" s="98"/>
      <c r="J354" s="98"/>
      <c r="K354" s="98"/>
    </row>
    <row r="355" spans="1:11" s="93" customFormat="1" x14ac:dyDescent="0.3">
      <c r="A355" s="101"/>
      <c r="B355" s="97"/>
      <c r="C355" s="97"/>
      <c r="D355" s="97"/>
      <c r="E355" s="97"/>
      <c r="F355" s="97"/>
      <c r="G355" s="97"/>
      <c r="H355" s="98"/>
      <c r="I355" s="98"/>
      <c r="J355" s="98"/>
      <c r="K355" s="98"/>
    </row>
    <row r="356" spans="1:11" s="93" customFormat="1" x14ac:dyDescent="0.3">
      <c r="A356" s="101"/>
      <c r="B356" s="97"/>
      <c r="C356" s="97"/>
      <c r="D356" s="97"/>
      <c r="E356" s="97"/>
      <c r="F356" s="97"/>
      <c r="G356" s="97"/>
      <c r="H356" s="98"/>
      <c r="I356" s="98"/>
      <c r="J356" s="98"/>
      <c r="K356" s="98"/>
    </row>
    <row r="357" spans="1:11" s="93" customFormat="1" x14ac:dyDescent="0.3">
      <c r="A357" s="101"/>
      <c r="B357" s="97"/>
      <c r="C357" s="97"/>
      <c r="D357" s="97"/>
      <c r="E357" s="97"/>
      <c r="F357" s="97"/>
      <c r="G357" s="97"/>
      <c r="H357" s="98"/>
      <c r="I357" s="98"/>
      <c r="J357" s="98"/>
      <c r="K357" s="98"/>
    </row>
    <row r="358" spans="1:11" s="93" customFormat="1" x14ac:dyDescent="0.3">
      <c r="A358" s="103"/>
      <c r="B358" s="97"/>
      <c r="C358" s="97"/>
      <c r="D358" s="97"/>
      <c r="E358" s="97"/>
      <c r="F358" s="97"/>
      <c r="G358" s="97"/>
      <c r="H358" s="98"/>
      <c r="I358" s="98"/>
      <c r="J358" s="98"/>
      <c r="K358" s="98"/>
    </row>
    <row r="359" spans="1:11" s="93" customFormat="1" x14ac:dyDescent="0.3">
      <c r="A359" s="103"/>
      <c r="B359" s="97"/>
      <c r="C359" s="97"/>
      <c r="D359" s="97"/>
      <c r="E359" s="97"/>
      <c r="F359" s="97"/>
      <c r="G359" s="97"/>
      <c r="H359" s="98"/>
      <c r="I359" s="98"/>
      <c r="J359" s="98"/>
      <c r="K359" s="98"/>
    </row>
    <row r="360" spans="1:11" s="93" customFormat="1" x14ac:dyDescent="0.3">
      <c r="A360" s="103"/>
      <c r="B360" s="97"/>
      <c r="C360" s="97"/>
      <c r="D360" s="97"/>
      <c r="E360" s="97"/>
      <c r="F360" s="97"/>
      <c r="G360" s="97"/>
      <c r="H360" s="98"/>
      <c r="I360" s="98"/>
      <c r="J360" s="98"/>
      <c r="K360" s="98"/>
    </row>
    <row r="361" spans="1:11" s="93" customFormat="1" x14ac:dyDescent="0.3">
      <c r="A361" s="103"/>
      <c r="B361" s="97"/>
      <c r="C361" s="97"/>
      <c r="D361" s="97"/>
      <c r="E361" s="97"/>
      <c r="F361" s="97"/>
      <c r="G361" s="97"/>
      <c r="H361" s="98"/>
      <c r="I361" s="98"/>
      <c r="J361" s="98"/>
      <c r="K361" s="98"/>
    </row>
    <row r="362" spans="1:11" s="93" customFormat="1" x14ac:dyDescent="0.3">
      <c r="A362" s="103"/>
      <c r="B362" s="97"/>
      <c r="C362" s="97"/>
      <c r="D362" s="97"/>
      <c r="E362" s="97"/>
      <c r="F362" s="97"/>
      <c r="G362" s="97"/>
      <c r="H362" s="98"/>
      <c r="I362" s="98"/>
      <c r="J362" s="98"/>
      <c r="K362" s="98"/>
    </row>
    <row r="363" spans="1:11" s="93" customFormat="1" x14ac:dyDescent="0.3">
      <c r="A363" s="103"/>
      <c r="B363" s="97"/>
      <c r="C363" s="97"/>
      <c r="D363" s="97"/>
      <c r="E363" s="97"/>
      <c r="F363" s="97"/>
      <c r="G363" s="97"/>
      <c r="H363" s="98"/>
      <c r="I363" s="98"/>
      <c r="J363" s="98"/>
      <c r="K363" s="98"/>
    </row>
    <row r="364" spans="1:11" s="93" customFormat="1" x14ac:dyDescent="0.3">
      <c r="A364" s="103"/>
      <c r="B364" s="97"/>
      <c r="C364" s="97"/>
      <c r="D364" s="97"/>
      <c r="E364" s="97"/>
      <c r="F364" s="97"/>
      <c r="G364" s="97"/>
      <c r="H364" s="98"/>
      <c r="I364" s="98"/>
      <c r="J364" s="98"/>
      <c r="K364" s="98"/>
    </row>
    <row r="365" spans="1:11" s="93" customFormat="1" x14ac:dyDescent="0.3">
      <c r="A365" s="103"/>
      <c r="B365" s="97"/>
      <c r="C365" s="97"/>
      <c r="D365" s="97"/>
      <c r="E365" s="97"/>
      <c r="F365" s="97"/>
      <c r="G365" s="97"/>
      <c r="H365" s="98"/>
      <c r="I365" s="98"/>
      <c r="J365" s="98"/>
      <c r="K365" s="98"/>
    </row>
    <row r="366" spans="1:11" s="93" customFormat="1" x14ac:dyDescent="0.3">
      <c r="A366" s="103"/>
      <c r="B366" s="97"/>
      <c r="C366" s="97"/>
      <c r="D366" s="97"/>
      <c r="E366" s="97"/>
      <c r="F366" s="97"/>
      <c r="G366" s="97"/>
      <c r="H366" s="98"/>
      <c r="I366" s="98"/>
      <c r="J366" s="98"/>
      <c r="K366" s="98"/>
    </row>
    <row r="367" spans="1:11" s="93" customFormat="1" x14ac:dyDescent="0.3">
      <c r="A367" s="103"/>
      <c r="B367" s="97"/>
      <c r="C367" s="97"/>
      <c r="D367" s="97"/>
      <c r="E367" s="97"/>
      <c r="F367" s="97"/>
      <c r="G367" s="97"/>
      <c r="H367" s="98"/>
      <c r="I367" s="98"/>
      <c r="J367" s="98"/>
      <c r="K367" s="98"/>
    </row>
    <row r="368" spans="1:11" s="93" customFormat="1" x14ac:dyDescent="0.3">
      <c r="A368" s="103"/>
      <c r="B368" s="97"/>
      <c r="C368" s="97"/>
      <c r="D368" s="97"/>
      <c r="E368" s="97"/>
      <c r="F368" s="97"/>
      <c r="G368" s="97"/>
      <c r="H368" s="98"/>
      <c r="I368" s="98"/>
      <c r="J368" s="98"/>
      <c r="K368" s="98"/>
    </row>
    <row r="369" spans="1:11" s="93" customFormat="1" x14ac:dyDescent="0.3">
      <c r="A369" s="103"/>
      <c r="B369" s="97"/>
      <c r="C369" s="97"/>
      <c r="D369" s="97"/>
      <c r="E369" s="97"/>
      <c r="F369" s="97"/>
      <c r="G369" s="97"/>
      <c r="H369" s="98"/>
      <c r="I369" s="98"/>
      <c r="J369" s="98"/>
      <c r="K369" s="98"/>
    </row>
    <row r="370" spans="1:11" s="93" customFormat="1" x14ac:dyDescent="0.3">
      <c r="A370" s="103"/>
      <c r="B370" s="97"/>
      <c r="C370" s="97"/>
      <c r="D370" s="97"/>
      <c r="E370" s="97"/>
      <c r="F370" s="97"/>
      <c r="G370" s="97"/>
      <c r="H370" s="98"/>
      <c r="I370" s="98"/>
      <c r="J370" s="98"/>
      <c r="K370" s="98"/>
    </row>
    <row r="371" spans="1:11" s="93" customFormat="1" ht="15.6" customHeight="1" x14ac:dyDescent="0.3">
      <c r="A371" s="104"/>
      <c r="B371" s="104"/>
      <c r="C371" s="104"/>
      <c r="D371" s="104"/>
      <c r="E371" s="104"/>
      <c r="F371" s="105"/>
      <c r="G371" s="106"/>
      <c r="H371" s="98"/>
      <c r="I371" s="98"/>
      <c r="J371" s="98"/>
      <c r="K371" s="98"/>
    </row>
    <row r="372" spans="1:11" s="93" customFormat="1" x14ac:dyDescent="0.3">
      <c r="A372" s="107"/>
      <c r="B372" s="97"/>
      <c r="C372" s="97"/>
      <c r="D372" s="97"/>
      <c r="E372" s="97"/>
      <c r="F372" s="97"/>
      <c r="G372" s="97"/>
      <c r="H372" s="98"/>
      <c r="I372" s="98"/>
      <c r="J372" s="98"/>
      <c r="K372" s="98"/>
    </row>
    <row r="373" spans="1:11" s="93" customFormat="1" x14ac:dyDescent="0.3">
      <c r="A373" s="107"/>
      <c r="B373" s="97"/>
      <c r="C373" s="97"/>
      <c r="D373" s="97"/>
      <c r="E373" s="97"/>
      <c r="F373" s="97"/>
      <c r="G373" s="97"/>
      <c r="H373" s="98"/>
      <c r="I373" s="98"/>
      <c r="J373" s="98"/>
      <c r="K373" s="98"/>
    </row>
    <row r="374" spans="1:11" s="93" customFormat="1" x14ac:dyDescent="0.3">
      <c r="A374" s="108"/>
      <c r="B374" s="108"/>
      <c r="C374" s="108"/>
      <c r="D374" s="108"/>
      <c r="E374" s="100"/>
      <c r="G374" s="97"/>
      <c r="H374" s="98"/>
      <c r="I374" s="98"/>
      <c r="J374" s="98"/>
      <c r="K374" s="98"/>
    </row>
    <row r="375" spans="1:11" s="93" customFormat="1" x14ac:dyDescent="0.3">
      <c r="A375" s="109"/>
      <c r="B375" s="110"/>
      <c r="C375" s="110"/>
      <c r="D375" s="110"/>
      <c r="E375" s="110"/>
      <c r="G375" s="97"/>
      <c r="H375" s="98"/>
      <c r="I375" s="98"/>
      <c r="J375" s="98"/>
      <c r="K375" s="98"/>
    </row>
    <row r="376" spans="1:11" s="93" customFormat="1" x14ac:dyDescent="0.3">
      <c r="A376" s="101"/>
      <c r="B376" s="97"/>
      <c r="C376" s="97"/>
      <c r="D376" s="97"/>
      <c r="E376" s="97"/>
      <c r="F376" s="97"/>
      <c r="G376" s="97"/>
      <c r="H376" s="98"/>
      <c r="I376" s="98"/>
      <c r="J376" s="98"/>
      <c r="K376" s="98"/>
    </row>
    <row r="377" spans="1:11" s="93" customFormat="1" x14ac:dyDescent="0.3">
      <c r="A377" s="101"/>
      <c r="B377" s="97"/>
      <c r="C377" s="97"/>
      <c r="D377" s="97"/>
      <c r="E377" s="97"/>
      <c r="F377" s="97"/>
      <c r="G377" s="97"/>
      <c r="H377" s="98"/>
      <c r="I377" s="98"/>
      <c r="J377" s="98"/>
      <c r="K377" s="98"/>
    </row>
    <row r="378" spans="1:11" s="93" customFormat="1" x14ac:dyDescent="0.3">
      <c r="A378" s="101"/>
      <c r="B378" s="97"/>
      <c r="C378" s="97"/>
      <c r="D378" s="97"/>
      <c r="E378" s="97"/>
      <c r="F378" s="104"/>
      <c r="G378" s="102"/>
      <c r="H378" s="98"/>
      <c r="I378" s="98"/>
      <c r="J378" s="98"/>
      <c r="K378" s="98"/>
    </row>
    <row r="379" spans="1:11" s="93" customFormat="1" x14ac:dyDescent="0.3">
      <c r="A379" s="101"/>
      <c r="B379" s="97"/>
      <c r="C379" s="97"/>
      <c r="D379" s="97"/>
      <c r="E379" s="97"/>
      <c r="F379" s="98"/>
      <c r="G379" s="98"/>
      <c r="H379" s="98"/>
      <c r="I379" s="98"/>
      <c r="J379" s="98"/>
      <c r="K379" s="98"/>
    </row>
    <row r="380" spans="1:11" s="93" customFormat="1" x14ac:dyDescent="0.3">
      <c r="A380" s="101"/>
      <c r="B380" s="97"/>
      <c r="C380" s="97"/>
      <c r="D380" s="97"/>
      <c r="E380" s="97"/>
      <c r="F380" s="98"/>
      <c r="G380" s="98"/>
      <c r="H380" s="98"/>
      <c r="I380" s="98"/>
      <c r="J380" s="98"/>
      <c r="K380" s="98"/>
    </row>
    <row r="381" spans="1:11" s="93" customFormat="1" x14ac:dyDescent="0.3">
      <c r="A381" s="104"/>
      <c r="B381" s="104"/>
      <c r="C381" s="104"/>
      <c r="D381" s="104"/>
      <c r="E381" s="105"/>
      <c r="F381" s="111"/>
      <c r="G381" s="111"/>
      <c r="H381" s="98"/>
      <c r="I381" s="98"/>
      <c r="J381" s="98"/>
      <c r="K381" s="98"/>
    </row>
    <row r="382" spans="1:11" s="93" customFormat="1" x14ac:dyDescent="0.3">
      <c r="A382" s="111"/>
      <c r="B382" s="111"/>
      <c r="C382" s="111"/>
      <c r="D382" s="111"/>
      <c r="E382" s="111"/>
      <c r="F382" s="111"/>
      <c r="G382" s="111"/>
      <c r="H382" s="98"/>
      <c r="I382" s="98"/>
      <c r="J382" s="98"/>
      <c r="K382" s="98"/>
    </row>
    <row r="383" spans="1:11" s="93" customFormat="1" ht="15" customHeight="1" x14ac:dyDescent="0.3">
      <c r="A383" s="112"/>
      <c r="B383" s="112"/>
      <c r="C383" s="112"/>
      <c r="D383" s="112"/>
      <c r="E383" s="113"/>
      <c r="F383" s="114"/>
      <c r="G383" s="98"/>
      <c r="H383" s="98"/>
      <c r="I383" s="98"/>
      <c r="J383" s="98"/>
      <c r="K383" s="98"/>
    </row>
    <row r="384" spans="1:11" s="93" customFormat="1" x14ac:dyDescent="0.3">
      <c r="A384" s="108"/>
      <c r="B384" s="108"/>
      <c r="C384" s="108"/>
      <c r="D384" s="115"/>
      <c r="E384" s="98"/>
      <c r="F384" s="98"/>
      <c r="G384" s="98"/>
      <c r="H384" s="98"/>
      <c r="I384" s="98"/>
      <c r="J384" s="98"/>
      <c r="K384" s="98"/>
    </row>
    <row r="385" spans="1:11" s="93" customFormat="1" ht="15" customHeight="1" x14ac:dyDescent="0.3">
      <c r="A385" s="112"/>
      <c r="B385" s="112"/>
      <c r="C385" s="112"/>
      <c r="D385" s="113"/>
      <c r="E385" s="114"/>
      <c r="F385" s="98"/>
      <c r="G385" s="98"/>
      <c r="H385" s="98"/>
      <c r="I385" s="98"/>
      <c r="J385" s="98"/>
      <c r="K385" s="98"/>
    </row>
    <row r="386" spans="1:11" s="93" customFormat="1" x14ac:dyDescent="0.3">
      <c r="A386" s="107"/>
      <c r="B386" s="97"/>
      <c r="C386" s="97"/>
      <c r="D386" s="97"/>
      <c r="E386" s="98"/>
      <c r="F386" s="98"/>
      <c r="G386" s="98"/>
      <c r="H386" s="98"/>
      <c r="I386" s="98"/>
      <c r="J386" s="98"/>
      <c r="K386" s="98"/>
    </row>
    <row r="387" spans="1:11" s="93" customFormat="1" x14ac:dyDescent="0.3">
      <c r="A387" s="108"/>
      <c r="B387" s="108"/>
      <c r="C387" s="108"/>
      <c r="D387" s="108"/>
      <c r="E387" s="98"/>
      <c r="F387" s="97"/>
      <c r="G387" s="98"/>
      <c r="H387" s="98"/>
      <c r="I387" s="98"/>
      <c r="J387" s="98"/>
      <c r="K387" s="98"/>
    </row>
    <row r="388" spans="1:11" s="93" customFormat="1" x14ac:dyDescent="0.3">
      <c r="A388" s="109"/>
      <c r="B388" s="109"/>
      <c r="C388" s="116"/>
      <c r="D388" s="116"/>
      <c r="E388" s="116"/>
      <c r="F388" s="116"/>
      <c r="G388" s="117"/>
      <c r="H388" s="98"/>
      <c r="I388" s="98"/>
      <c r="J388" s="98"/>
      <c r="K388" s="98"/>
    </row>
    <row r="389" spans="1:11" s="93" customFormat="1" x14ac:dyDescent="0.3">
      <c r="A389" s="118"/>
      <c r="B389" s="97"/>
      <c r="C389" s="97"/>
      <c r="D389" s="97"/>
      <c r="E389" s="97"/>
      <c r="F389" s="97"/>
      <c r="G389" s="97"/>
      <c r="H389" s="98"/>
      <c r="I389" s="98"/>
      <c r="J389" s="97"/>
      <c r="K389" s="98"/>
    </row>
    <row r="390" spans="1:11" s="93" customFormat="1" x14ac:dyDescent="0.3">
      <c r="A390" s="118"/>
      <c r="B390" s="97"/>
      <c r="C390" s="97"/>
      <c r="D390" s="97"/>
      <c r="E390" s="97"/>
      <c r="F390" s="97"/>
      <c r="G390" s="97"/>
      <c r="H390" s="98"/>
      <c r="I390" s="98"/>
      <c r="J390" s="97"/>
      <c r="K390" s="98"/>
    </row>
    <row r="391" spans="1:11" s="93" customFormat="1" x14ac:dyDescent="0.3">
      <c r="A391" s="118"/>
      <c r="B391" s="97"/>
      <c r="C391" s="97"/>
      <c r="D391" s="97"/>
      <c r="E391" s="97"/>
      <c r="F391" s="97"/>
      <c r="G391" s="97"/>
      <c r="H391" s="98"/>
      <c r="I391" s="98"/>
      <c r="J391" s="97"/>
      <c r="K391" s="98"/>
    </row>
    <row r="392" spans="1:11" s="93" customFormat="1" x14ac:dyDescent="0.3">
      <c r="A392" s="97"/>
      <c r="B392" s="97"/>
      <c r="C392" s="97"/>
      <c r="D392" s="118"/>
      <c r="E392" s="97"/>
      <c r="F392" s="97"/>
      <c r="G392" s="119"/>
      <c r="H392" s="114"/>
      <c r="I392" s="114"/>
      <c r="J392" s="97"/>
      <c r="K392" s="98"/>
    </row>
    <row r="393" spans="1:11" s="93" customFormat="1" x14ac:dyDescent="0.3">
      <c r="A393" s="120"/>
      <c r="B393" s="97"/>
      <c r="C393" s="97"/>
      <c r="D393" s="97"/>
      <c r="E393" s="97"/>
      <c r="F393" s="97"/>
      <c r="G393" s="97"/>
      <c r="H393" s="97"/>
      <c r="I393" s="97"/>
      <c r="J393" s="97"/>
      <c r="K393" s="98"/>
    </row>
    <row r="394" spans="1:11" s="93" customFormat="1" x14ac:dyDescent="0.3">
      <c r="A394" s="108"/>
      <c r="B394" s="108"/>
      <c r="C394" s="108"/>
      <c r="D394" s="97"/>
      <c r="E394" s="106"/>
      <c r="F394" s="98"/>
      <c r="G394" s="97"/>
      <c r="H394" s="98"/>
      <c r="I394" s="98"/>
    </row>
    <row r="395" spans="1:11" s="93" customFormat="1" x14ac:dyDescent="0.3">
      <c r="A395" s="109"/>
      <c r="B395" s="110"/>
      <c r="C395" s="110"/>
      <c r="D395" s="110"/>
      <c r="E395" s="110"/>
      <c r="F395" s="110"/>
      <c r="G395" s="97"/>
      <c r="H395" s="98"/>
      <c r="I395" s="98"/>
    </row>
    <row r="396" spans="1:11" s="93" customFormat="1" x14ac:dyDescent="0.3">
      <c r="A396" s="107"/>
      <c r="B396" s="97"/>
      <c r="C396" s="97"/>
      <c r="D396" s="97"/>
      <c r="E396" s="97"/>
      <c r="F396" s="97"/>
      <c r="G396" s="97"/>
      <c r="H396" s="98"/>
      <c r="I396" s="98"/>
    </row>
    <row r="397" spans="1:11" s="93" customFormat="1" x14ac:dyDescent="0.3">
      <c r="A397" s="107"/>
      <c r="B397" s="97"/>
      <c r="C397" s="97"/>
      <c r="D397" s="97"/>
      <c r="E397" s="97"/>
      <c r="F397" s="97"/>
      <c r="G397" s="97"/>
      <c r="H397" s="98"/>
      <c r="I397" s="98"/>
    </row>
    <row r="398" spans="1:11" s="93" customFormat="1" x14ac:dyDescent="0.3">
      <c r="A398" s="120"/>
      <c r="B398" s="97"/>
      <c r="C398" s="97"/>
      <c r="D398" s="97"/>
      <c r="E398" s="97"/>
      <c r="F398" s="97"/>
      <c r="G398" s="97"/>
      <c r="H398" s="98"/>
      <c r="I398" s="98"/>
    </row>
    <row r="399" spans="1:11" s="93" customFormat="1" x14ac:dyDescent="0.3">
      <c r="A399" s="120"/>
      <c r="B399" s="97"/>
      <c r="C399" s="97"/>
      <c r="D399" s="97"/>
      <c r="E399" s="97"/>
      <c r="F399" s="97"/>
      <c r="G399" s="97"/>
      <c r="H399" s="98"/>
      <c r="I399" s="98"/>
    </row>
    <row r="400" spans="1:11" s="93" customFormat="1" x14ac:dyDescent="0.3">
      <c r="A400" s="120"/>
      <c r="B400" s="97"/>
      <c r="C400" s="97"/>
      <c r="D400" s="97"/>
      <c r="E400" s="97"/>
      <c r="F400" s="97"/>
      <c r="G400" s="97"/>
      <c r="H400" s="98"/>
      <c r="I400" s="98"/>
    </row>
    <row r="401" spans="1:9" s="93" customFormat="1" x14ac:dyDescent="0.3">
      <c r="A401" s="120"/>
      <c r="B401" s="97"/>
      <c r="C401" s="97"/>
      <c r="D401" s="97"/>
      <c r="E401" s="97"/>
      <c r="F401" s="97"/>
      <c r="G401" s="97"/>
      <c r="H401" s="98"/>
      <c r="I401" s="98"/>
    </row>
    <row r="402" spans="1:9" s="93" customFormat="1" x14ac:dyDescent="0.3">
      <c r="A402" s="97"/>
      <c r="B402" s="97"/>
      <c r="C402" s="97"/>
      <c r="D402" s="97"/>
      <c r="E402" s="97"/>
      <c r="F402" s="97"/>
      <c r="G402" s="97"/>
      <c r="H402" s="98"/>
      <c r="I402" s="98"/>
    </row>
    <row r="403" spans="1:9" s="93" customFormat="1" x14ac:dyDescent="0.3">
      <c r="A403" s="104"/>
      <c r="B403" s="104"/>
      <c r="C403" s="104"/>
      <c r="D403" s="104"/>
      <c r="E403" s="104"/>
      <c r="F403" s="105"/>
      <c r="G403" s="97"/>
      <c r="H403" s="98"/>
      <c r="I403" s="98"/>
    </row>
    <row r="404" spans="1:9" s="93" customFormat="1" x14ac:dyDescent="0.3">
      <c r="A404" s="101"/>
      <c r="B404" s="101"/>
      <c r="C404" s="101"/>
      <c r="D404" s="101"/>
      <c r="E404" s="101"/>
      <c r="F404" s="101"/>
      <c r="G404" s="101"/>
      <c r="H404" s="101"/>
      <c r="I404" s="101"/>
    </row>
    <row r="405" spans="1:9" s="93" customFormat="1" x14ac:dyDescent="0.3">
      <c r="A405" s="101"/>
      <c r="B405" s="101"/>
      <c r="C405" s="101"/>
      <c r="D405" s="101"/>
      <c r="E405" s="101"/>
      <c r="F405" s="101"/>
      <c r="G405" s="101"/>
      <c r="H405" s="101"/>
      <c r="I405" s="101"/>
    </row>
    <row r="406" spans="1:9" s="93" customFormat="1" x14ac:dyDescent="0.3">
      <c r="A406" s="101"/>
      <c r="B406" s="101"/>
      <c r="C406" s="101"/>
      <c r="D406" s="101"/>
      <c r="E406" s="101"/>
      <c r="F406" s="101"/>
      <c r="G406" s="101"/>
      <c r="H406" s="101"/>
      <c r="I406" s="101"/>
    </row>
    <row r="407" spans="1:9" s="93" customFormat="1" x14ac:dyDescent="0.3">
      <c r="A407" s="101"/>
      <c r="B407" s="101"/>
      <c r="C407" s="101"/>
      <c r="D407" s="101"/>
      <c r="E407" s="101"/>
      <c r="F407" s="101"/>
      <c r="G407" s="101"/>
      <c r="H407" s="101"/>
      <c r="I407" s="101"/>
    </row>
    <row r="408" spans="1:9" s="93" customFormat="1" x14ac:dyDescent="0.3">
      <c r="A408" s="101"/>
      <c r="B408" s="101"/>
      <c r="C408" s="101"/>
      <c r="D408" s="101"/>
      <c r="E408" s="101"/>
      <c r="F408" s="101"/>
      <c r="G408" s="101"/>
      <c r="H408" s="101"/>
      <c r="I408" s="101"/>
    </row>
    <row r="409" spans="1:9" s="93" customFormat="1" x14ac:dyDescent="0.3">
      <c r="A409" s="101"/>
      <c r="B409" s="101"/>
      <c r="C409" s="101"/>
      <c r="D409" s="101"/>
      <c r="E409" s="101"/>
      <c r="F409" s="101"/>
      <c r="G409" s="101"/>
      <c r="H409" s="101"/>
      <c r="I409" s="101"/>
    </row>
    <row r="410" spans="1:9" s="93" customFormat="1" x14ac:dyDescent="0.3">
      <c r="A410" s="101"/>
      <c r="B410" s="101"/>
      <c r="C410" s="101"/>
      <c r="D410" s="101"/>
      <c r="E410" s="101"/>
      <c r="F410" s="101"/>
      <c r="G410" s="101"/>
      <c r="H410" s="101"/>
      <c r="I410" s="101"/>
    </row>
    <row r="411" spans="1:9" s="93" customFormat="1" x14ac:dyDescent="0.3">
      <c r="A411" s="101"/>
      <c r="B411" s="101"/>
      <c r="C411" s="101"/>
      <c r="D411" s="101"/>
      <c r="E411" s="101"/>
      <c r="F411" s="101"/>
      <c r="G411" s="101"/>
      <c r="H411" s="101"/>
      <c r="I411" s="101"/>
    </row>
    <row r="412" spans="1:9" s="93" customFormat="1" x14ac:dyDescent="0.3">
      <c r="A412" s="101"/>
      <c r="B412" s="101"/>
      <c r="C412" s="101"/>
      <c r="D412" s="101"/>
      <c r="E412" s="101"/>
      <c r="F412" s="101"/>
      <c r="G412" s="101"/>
      <c r="H412" s="101"/>
      <c r="I412" s="101"/>
    </row>
    <row r="413" spans="1:9" s="93" customFormat="1" x14ac:dyDescent="0.3">
      <c r="A413" s="101"/>
      <c r="B413" s="101"/>
      <c r="C413" s="101"/>
      <c r="D413" s="101"/>
      <c r="E413" s="101"/>
      <c r="F413" s="101"/>
      <c r="G413" s="101"/>
      <c r="H413" s="101"/>
      <c r="I413" s="101"/>
    </row>
    <row r="414" spans="1:9" s="93" customFormat="1" x14ac:dyDescent="0.3">
      <c r="A414" s="101"/>
      <c r="B414" s="101"/>
      <c r="C414" s="101"/>
      <c r="D414" s="101"/>
      <c r="E414" s="101"/>
      <c r="F414" s="101"/>
      <c r="G414" s="101"/>
      <c r="H414" s="101"/>
      <c r="I414" s="101"/>
    </row>
    <row r="415" spans="1:9" s="93" customFormat="1" x14ac:dyDescent="0.3">
      <c r="A415" s="101"/>
      <c r="B415" s="101"/>
      <c r="C415" s="101"/>
      <c r="D415" s="101"/>
      <c r="E415" s="101"/>
      <c r="F415" s="101"/>
      <c r="G415" s="101"/>
      <c r="H415" s="101"/>
      <c r="I415" s="101"/>
    </row>
    <row r="416" spans="1:9" s="93" customFormat="1" x14ac:dyDescent="0.3">
      <c r="A416" s="101"/>
      <c r="B416" s="101"/>
      <c r="C416" s="101"/>
      <c r="D416" s="101"/>
      <c r="E416" s="101"/>
      <c r="F416" s="101"/>
      <c r="G416" s="101"/>
      <c r="H416" s="101"/>
      <c r="I416" s="101"/>
    </row>
    <row r="417" spans="1:9" s="93" customFormat="1" x14ac:dyDescent="0.3">
      <c r="A417" s="101"/>
      <c r="B417" s="101"/>
      <c r="C417" s="101"/>
      <c r="D417" s="101"/>
      <c r="E417" s="101"/>
      <c r="F417" s="101"/>
      <c r="G417" s="101"/>
      <c r="H417" s="101"/>
      <c r="I417" s="101"/>
    </row>
    <row r="418" spans="1:9" s="93" customFormat="1" x14ac:dyDescent="0.3">
      <c r="A418" s="101"/>
      <c r="B418" s="101"/>
      <c r="C418" s="101"/>
      <c r="D418" s="101"/>
      <c r="E418" s="101"/>
      <c r="F418" s="101"/>
      <c r="G418" s="101"/>
      <c r="H418" s="101"/>
      <c r="I418" s="101"/>
    </row>
    <row r="419" spans="1:9" s="93" customFormat="1" x14ac:dyDescent="0.3">
      <c r="A419" s="101"/>
      <c r="B419" s="101"/>
      <c r="C419" s="101"/>
      <c r="D419" s="101"/>
      <c r="E419" s="101"/>
      <c r="F419" s="101"/>
      <c r="G419" s="101"/>
      <c r="H419" s="101"/>
      <c r="I419" s="101"/>
    </row>
    <row r="420" spans="1:9" s="93" customFormat="1" x14ac:dyDescent="0.3">
      <c r="A420" s="101"/>
      <c r="B420" s="101"/>
      <c r="C420" s="101"/>
      <c r="D420" s="101"/>
      <c r="E420" s="101"/>
      <c r="F420" s="101"/>
      <c r="G420" s="101"/>
      <c r="H420" s="101"/>
      <c r="I420" s="101"/>
    </row>
    <row r="421" spans="1:9" s="93" customFormat="1" x14ac:dyDescent="0.3">
      <c r="A421" s="101"/>
      <c r="B421" s="101"/>
      <c r="C421" s="101"/>
      <c r="D421" s="101"/>
      <c r="E421" s="101"/>
      <c r="F421" s="101"/>
      <c r="G421" s="101"/>
      <c r="H421" s="101"/>
      <c r="I421" s="101"/>
    </row>
    <row r="422" spans="1:9" s="93" customFormat="1" x14ac:dyDescent="0.3">
      <c r="A422" s="101"/>
      <c r="B422" s="101"/>
      <c r="C422" s="101"/>
      <c r="D422" s="101"/>
      <c r="E422" s="101"/>
      <c r="F422" s="101"/>
      <c r="G422" s="101"/>
      <c r="H422" s="101"/>
      <c r="I422" s="101"/>
    </row>
    <row r="423" spans="1:9" s="93" customFormat="1" x14ac:dyDescent="0.3">
      <c r="A423" s="101"/>
      <c r="B423" s="101"/>
      <c r="C423" s="101"/>
      <c r="D423" s="101"/>
      <c r="E423" s="101"/>
      <c r="F423" s="101"/>
      <c r="G423" s="101"/>
      <c r="H423" s="101"/>
      <c r="I423" s="101"/>
    </row>
    <row r="424" spans="1:9" s="93" customFormat="1" x14ac:dyDescent="0.3">
      <c r="A424" s="101"/>
      <c r="B424" s="101"/>
      <c r="C424" s="101"/>
      <c r="D424" s="101"/>
      <c r="E424" s="101"/>
      <c r="F424" s="101"/>
      <c r="G424" s="101"/>
      <c r="H424" s="101"/>
      <c r="I424" s="101"/>
    </row>
    <row r="425" spans="1:9" s="93" customFormat="1" x14ac:dyDescent="0.3">
      <c r="A425" s="101"/>
      <c r="B425" s="101"/>
      <c r="C425" s="101"/>
      <c r="D425" s="101"/>
      <c r="E425" s="101"/>
      <c r="F425" s="101"/>
      <c r="G425" s="101"/>
      <c r="H425" s="101"/>
      <c r="I425" s="101"/>
    </row>
    <row r="426" spans="1:9" s="93" customFormat="1" x14ac:dyDescent="0.3">
      <c r="A426" s="101"/>
      <c r="B426" s="101"/>
      <c r="C426" s="101"/>
      <c r="D426" s="101"/>
      <c r="E426" s="101"/>
      <c r="F426" s="101"/>
      <c r="G426" s="101"/>
      <c r="H426" s="101"/>
      <c r="I426" s="101"/>
    </row>
    <row r="427" spans="1:9" s="93" customFormat="1" x14ac:dyDescent="0.3">
      <c r="A427" s="101"/>
      <c r="B427" s="101"/>
      <c r="C427" s="101"/>
      <c r="D427" s="101"/>
      <c r="E427" s="101"/>
      <c r="F427" s="101"/>
      <c r="G427" s="101"/>
      <c r="H427" s="101"/>
      <c r="I427" s="101"/>
    </row>
    <row r="428" spans="1:9" s="93" customFormat="1" x14ac:dyDescent="0.3">
      <c r="A428" s="101"/>
      <c r="B428" s="101"/>
      <c r="C428" s="101"/>
      <c r="D428" s="101"/>
      <c r="E428" s="101"/>
      <c r="F428" s="101"/>
      <c r="G428" s="101"/>
      <c r="H428" s="101"/>
      <c r="I428" s="101"/>
    </row>
    <row r="429" spans="1:9" s="93" customFormat="1" x14ac:dyDescent="0.3">
      <c r="A429" s="101"/>
      <c r="B429" s="101"/>
      <c r="C429" s="101"/>
      <c r="D429" s="101"/>
      <c r="E429" s="101"/>
      <c r="F429" s="101"/>
      <c r="G429" s="101"/>
      <c r="H429" s="101"/>
      <c r="I429" s="101"/>
    </row>
    <row r="430" spans="1:9" s="93" customFormat="1" x14ac:dyDescent="0.3">
      <c r="A430" s="101"/>
      <c r="B430" s="101"/>
      <c r="C430" s="101"/>
      <c r="D430" s="101"/>
      <c r="E430" s="101"/>
      <c r="F430" s="101"/>
      <c r="G430" s="101"/>
      <c r="H430" s="101"/>
      <c r="I430" s="101"/>
    </row>
    <row r="431" spans="1:9" s="93" customFormat="1" x14ac:dyDescent="0.3">
      <c r="A431" s="101"/>
      <c r="B431" s="101"/>
      <c r="C431" s="101"/>
      <c r="D431" s="101"/>
      <c r="E431" s="101"/>
      <c r="F431" s="101"/>
      <c r="G431" s="101"/>
      <c r="H431" s="101"/>
      <c r="I431" s="101"/>
    </row>
    <row r="432" spans="1:9" s="93" customFormat="1" x14ac:dyDescent="0.3">
      <c r="A432" s="101"/>
      <c r="B432" s="101"/>
      <c r="C432" s="101"/>
      <c r="D432" s="101"/>
      <c r="E432" s="101"/>
      <c r="F432" s="101"/>
      <c r="G432" s="101"/>
      <c r="H432" s="101"/>
      <c r="I432" s="101"/>
    </row>
    <row r="433" spans="1:9" s="93" customFormat="1" x14ac:dyDescent="0.3">
      <c r="A433" s="101"/>
      <c r="B433" s="101"/>
      <c r="C433" s="101"/>
      <c r="D433" s="101"/>
      <c r="E433" s="101"/>
      <c r="F433" s="101"/>
      <c r="G433" s="101"/>
      <c r="H433" s="101"/>
      <c r="I433" s="101"/>
    </row>
    <row r="434" spans="1:9" s="93" customFormat="1" x14ac:dyDescent="0.3">
      <c r="A434" s="101"/>
      <c r="B434" s="101"/>
      <c r="C434" s="101"/>
      <c r="D434" s="101"/>
      <c r="E434" s="101"/>
      <c r="F434" s="101"/>
      <c r="G434" s="101"/>
      <c r="H434" s="101"/>
      <c r="I434" s="101"/>
    </row>
    <row r="435" spans="1:9" s="93" customFormat="1" x14ac:dyDescent="0.3">
      <c r="A435" s="101"/>
      <c r="B435" s="101"/>
      <c r="C435" s="101"/>
      <c r="D435" s="101"/>
      <c r="E435" s="101"/>
      <c r="F435" s="101"/>
      <c r="G435" s="101"/>
      <c r="H435" s="101"/>
      <c r="I435" s="101"/>
    </row>
    <row r="436" spans="1:9" s="93" customFormat="1" x14ac:dyDescent="0.3">
      <c r="A436" s="101"/>
      <c r="B436" s="101"/>
      <c r="C436" s="101"/>
      <c r="D436" s="101"/>
      <c r="E436" s="101"/>
      <c r="F436" s="101"/>
      <c r="G436" s="101"/>
      <c r="H436" s="101"/>
      <c r="I436" s="101"/>
    </row>
    <row r="437" spans="1:9" s="93" customFormat="1" x14ac:dyDescent="0.3">
      <c r="A437" s="101"/>
      <c r="B437" s="101"/>
      <c r="C437" s="101"/>
      <c r="D437" s="101"/>
      <c r="E437" s="101"/>
      <c r="F437" s="101"/>
      <c r="G437" s="101"/>
      <c r="H437" s="101"/>
      <c r="I437" s="101"/>
    </row>
    <row r="438" spans="1:9" s="93" customFormat="1" x14ac:dyDescent="0.3">
      <c r="A438" s="101"/>
      <c r="B438" s="101"/>
      <c r="C438" s="101"/>
      <c r="D438" s="101"/>
      <c r="E438" s="101"/>
      <c r="F438" s="101"/>
      <c r="G438" s="101"/>
      <c r="H438" s="101"/>
      <c r="I438" s="101"/>
    </row>
    <row r="439" spans="1:9" s="93" customFormat="1" x14ac:dyDescent="0.3">
      <c r="A439" s="101"/>
      <c r="B439" s="101"/>
      <c r="C439" s="101"/>
      <c r="D439" s="101"/>
      <c r="E439" s="101"/>
      <c r="F439" s="101"/>
      <c r="G439" s="101"/>
      <c r="H439" s="101"/>
      <c r="I439" s="101"/>
    </row>
    <row r="440" spans="1:9" s="93" customFormat="1" x14ac:dyDescent="0.3">
      <c r="A440" s="101"/>
      <c r="B440" s="101"/>
      <c r="C440" s="101"/>
      <c r="D440" s="101"/>
      <c r="E440" s="101"/>
      <c r="F440" s="101"/>
      <c r="G440" s="101"/>
      <c r="H440" s="101"/>
      <c r="I440" s="101"/>
    </row>
    <row r="441" spans="1:9" s="93" customFormat="1" x14ac:dyDescent="0.3">
      <c r="A441" s="101"/>
      <c r="B441" s="101"/>
      <c r="C441" s="101"/>
      <c r="D441" s="101"/>
      <c r="E441" s="101"/>
      <c r="F441" s="101"/>
      <c r="G441" s="101"/>
      <c r="H441" s="101"/>
      <c r="I441" s="101"/>
    </row>
    <row r="442" spans="1:9" s="93" customFormat="1" x14ac:dyDescent="0.3">
      <c r="A442" s="101"/>
      <c r="B442" s="101"/>
      <c r="C442" s="101"/>
      <c r="D442" s="101"/>
      <c r="E442" s="101"/>
      <c r="F442" s="101"/>
      <c r="G442" s="101"/>
      <c r="H442" s="101"/>
      <c r="I442" s="101"/>
    </row>
    <row r="443" spans="1:9" s="93" customFormat="1" x14ac:dyDescent="0.3">
      <c r="A443" s="101"/>
      <c r="B443" s="101"/>
      <c r="C443" s="101"/>
      <c r="D443" s="101"/>
      <c r="E443" s="101"/>
      <c r="F443" s="101"/>
      <c r="G443" s="101"/>
      <c r="H443" s="101"/>
      <c r="I443" s="101"/>
    </row>
    <row r="444" spans="1:9" s="93" customFormat="1" x14ac:dyDescent="0.3">
      <c r="A444" s="101"/>
      <c r="B444" s="101"/>
      <c r="C444" s="101"/>
      <c r="D444" s="101"/>
      <c r="E444" s="101"/>
      <c r="F444" s="101"/>
      <c r="G444" s="101"/>
      <c r="H444" s="101"/>
      <c r="I444" s="101"/>
    </row>
    <row r="445" spans="1:9" s="93" customFormat="1" x14ac:dyDescent="0.3">
      <c r="A445" s="101"/>
      <c r="B445" s="101"/>
      <c r="C445" s="101"/>
      <c r="D445" s="101"/>
      <c r="E445" s="101"/>
      <c r="F445" s="101"/>
      <c r="G445" s="101"/>
      <c r="H445" s="101"/>
      <c r="I445" s="101"/>
    </row>
    <row r="446" spans="1:9" s="93" customFormat="1" x14ac:dyDescent="0.3">
      <c r="A446" s="101"/>
      <c r="B446" s="101"/>
      <c r="C446" s="101"/>
      <c r="D446" s="101"/>
      <c r="E446" s="101"/>
      <c r="F446" s="101"/>
      <c r="G446" s="101"/>
      <c r="H446" s="101"/>
      <c r="I446" s="101"/>
    </row>
    <row r="447" spans="1:9" s="93" customFormat="1" x14ac:dyDescent="0.3">
      <c r="A447" s="101"/>
      <c r="B447" s="101"/>
      <c r="C447" s="101"/>
      <c r="D447" s="101"/>
      <c r="E447" s="101"/>
      <c r="F447" s="101"/>
      <c r="G447" s="101"/>
      <c r="H447" s="101"/>
      <c r="I447" s="101"/>
    </row>
    <row r="448" spans="1:9" s="93" customFormat="1" x14ac:dyDescent="0.3">
      <c r="A448" s="101"/>
      <c r="B448" s="101"/>
      <c r="C448" s="101"/>
      <c r="D448" s="101"/>
      <c r="E448" s="101"/>
      <c r="F448" s="101"/>
      <c r="G448" s="101"/>
      <c r="H448" s="101"/>
      <c r="I448" s="101"/>
    </row>
    <row r="449" spans="1:9" s="93" customFormat="1" x14ac:dyDescent="0.3">
      <c r="A449" s="101"/>
      <c r="B449" s="101"/>
      <c r="C449" s="101"/>
      <c r="D449" s="101"/>
      <c r="E449" s="101"/>
      <c r="F449" s="101"/>
      <c r="G449" s="101"/>
      <c r="H449" s="101"/>
      <c r="I449" s="101"/>
    </row>
    <row r="450" spans="1:9" s="93" customFormat="1" x14ac:dyDescent="0.3">
      <c r="A450" s="101"/>
      <c r="B450" s="101"/>
      <c r="C450" s="101"/>
      <c r="D450" s="101"/>
      <c r="E450" s="101"/>
      <c r="F450" s="101"/>
      <c r="G450" s="101"/>
      <c r="H450" s="101"/>
      <c r="I450" s="101"/>
    </row>
    <row r="451" spans="1:9" s="93" customFormat="1" x14ac:dyDescent="0.3">
      <c r="A451" s="101"/>
      <c r="B451" s="101"/>
      <c r="C451" s="101"/>
      <c r="D451" s="101"/>
      <c r="E451" s="101"/>
      <c r="F451" s="101"/>
      <c r="G451" s="101"/>
      <c r="H451" s="101"/>
      <c r="I451" s="101"/>
    </row>
    <row r="452" spans="1:9" s="93" customFormat="1" x14ac:dyDescent="0.3">
      <c r="A452" s="101"/>
      <c r="B452" s="101"/>
      <c r="C452" s="101"/>
      <c r="D452" s="101"/>
      <c r="E452" s="101"/>
      <c r="F452" s="101"/>
      <c r="G452" s="101"/>
      <c r="H452" s="101"/>
      <c r="I452" s="101"/>
    </row>
    <row r="453" spans="1:9" s="93" customFormat="1" x14ac:dyDescent="0.3">
      <c r="A453" s="101"/>
      <c r="B453" s="101"/>
      <c r="C453" s="101"/>
      <c r="D453" s="101"/>
      <c r="E453" s="101"/>
      <c r="F453" s="101"/>
      <c r="G453" s="101"/>
      <c r="H453" s="101"/>
      <c r="I453" s="101"/>
    </row>
    <row r="454" spans="1:9" s="93" customFormat="1" x14ac:dyDescent="0.3">
      <c r="A454" s="101"/>
      <c r="B454" s="101"/>
      <c r="C454" s="101"/>
      <c r="D454" s="101"/>
      <c r="E454" s="101"/>
      <c r="F454" s="101"/>
      <c r="G454" s="101"/>
      <c r="H454" s="101"/>
      <c r="I454" s="101"/>
    </row>
    <row r="455" spans="1:9" s="93" customFormat="1" x14ac:dyDescent="0.3">
      <c r="A455" s="101"/>
      <c r="B455" s="101"/>
      <c r="C455" s="101"/>
      <c r="D455" s="101"/>
      <c r="E455" s="101"/>
      <c r="F455" s="101"/>
      <c r="G455" s="101"/>
      <c r="H455" s="101"/>
      <c r="I455" s="101"/>
    </row>
    <row r="456" spans="1:9" s="93" customFormat="1" x14ac:dyDescent="0.3">
      <c r="A456" s="101"/>
      <c r="B456" s="101"/>
      <c r="C456" s="101"/>
      <c r="D456" s="101"/>
      <c r="E456" s="101"/>
      <c r="F456" s="101"/>
      <c r="G456" s="101"/>
      <c r="H456" s="101"/>
      <c r="I456" s="101"/>
    </row>
    <row r="457" spans="1:9" s="93" customFormat="1" x14ac:dyDescent="0.3">
      <c r="A457" s="101"/>
      <c r="B457" s="101"/>
      <c r="C457" s="101"/>
      <c r="D457" s="101"/>
      <c r="E457" s="101"/>
      <c r="F457" s="101"/>
      <c r="G457" s="101"/>
      <c r="H457" s="101"/>
      <c r="I457" s="101"/>
    </row>
    <row r="458" spans="1:9" s="93" customFormat="1" x14ac:dyDescent="0.3">
      <c r="A458" s="101"/>
      <c r="B458" s="101"/>
      <c r="C458" s="101"/>
      <c r="D458" s="101"/>
      <c r="E458" s="101"/>
      <c r="F458" s="101"/>
      <c r="G458" s="101"/>
      <c r="H458" s="101"/>
      <c r="I458" s="101"/>
    </row>
    <row r="459" spans="1:9" s="93" customFormat="1" x14ac:dyDescent="0.3">
      <c r="A459" s="101"/>
      <c r="B459" s="101"/>
      <c r="C459" s="101"/>
      <c r="D459" s="101"/>
      <c r="E459" s="101"/>
      <c r="F459" s="101"/>
      <c r="G459" s="101"/>
      <c r="H459" s="101"/>
      <c r="I459" s="101"/>
    </row>
    <row r="460" spans="1:9" s="93" customFormat="1" x14ac:dyDescent="0.3">
      <c r="A460" s="101"/>
      <c r="B460" s="101"/>
      <c r="C460" s="101"/>
      <c r="D460" s="101"/>
      <c r="E460" s="101"/>
      <c r="F460" s="101"/>
      <c r="G460" s="101"/>
      <c r="H460" s="101"/>
      <c r="I460" s="101"/>
    </row>
    <row r="461" spans="1:9" s="93" customFormat="1" x14ac:dyDescent="0.3">
      <c r="A461" s="101"/>
      <c r="B461" s="101"/>
      <c r="C461" s="101"/>
      <c r="D461" s="101"/>
      <c r="E461" s="101"/>
      <c r="F461" s="101"/>
      <c r="G461" s="101"/>
      <c r="H461" s="101"/>
      <c r="I461" s="101"/>
    </row>
    <row r="462" spans="1:9" s="93" customFormat="1" x14ac:dyDescent="0.3">
      <c r="A462" s="101"/>
      <c r="B462" s="101"/>
      <c r="C462" s="101"/>
      <c r="D462" s="101"/>
      <c r="E462" s="101"/>
      <c r="F462" s="101"/>
      <c r="G462" s="101"/>
      <c r="H462" s="101"/>
      <c r="I462" s="101"/>
    </row>
    <row r="463" spans="1:9" s="93" customFormat="1" x14ac:dyDescent="0.3">
      <c r="A463" s="101"/>
      <c r="B463" s="101"/>
      <c r="C463" s="101"/>
      <c r="D463" s="101"/>
      <c r="E463" s="101"/>
      <c r="F463" s="101"/>
      <c r="G463" s="101"/>
      <c r="H463" s="101"/>
      <c r="I463" s="101"/>
    </row>
    <row r="464" spans="1:9" s="93" customFormat="1" x14ac:dyDescent="0.3">
      <c r="A464" s="101"/>
      <c r="B464" s="101"/>
      <c r="C464" s="101"/>
      <c r="D464" s="101"/>
      <c r="E464" s="101"/>
      <c r="F464" s="101"/>
      <c r="G464" s="101"/>
      <c r="H464" s="101"/>
      <c r="I464" s="101"/>
    </row>
    <row r="465" spans="1:9" s="93" customFormat="1" x14ac:dyDescent="0.3">
      <c r="A465" s="101"/>
      <c r="B465" s="101"/>
      <c r="C465" s="101"/>
      <c r="D465" s="101"/>
      <c r="E465" s="101"/>
      <c r="F465" s="101"/>
      <c r="G465" s="101"/>
      <c r="H465" s="101"/>
      <c r="I465" s="101"/>
    </row>
    <row r="466" spans="1:9" s="93" customFormat="1" x14ac:dyDescent="0.3">
      <c r="A466" s="101"/>
      <c r="B466" s="101"/>
      <c r="C466" s="101"/>
      <c r="D466" s="101"/>
      <c r="E466" s="101"/>
      <c r="F466" s="101"/>
      <c r="G466" s="101"/>
      <c r="H466" s="101"/>
      <c r="I466" s="101"/>
    </row>
    <row r="467" spans="1:9" s="93" customFormat="1" x14ac:dyDescent="0.3">
      <c r="A467" s="101"/>
      <c r="B467" s="101"/>
      <c r="C467" s="101"/>
      <c r="D467" s="101"/>
      <c r="E467" s="101"/>
      <c r="F467" s="101"/>
      <c r="G467" s="101"/>
      <c r="H467" s="101"/>
      <c r="I467" s="101"/>
    </row>
    <row r="468" spans="1:9" s="93" customFormat="1" x14ac:dyDescent="0.3">
      <c r="A468" s="101"/>
      <c r="B468" s="101"/>
      <c r="C468" s="101"/>
      <c r="D468" s="101"/>
      <c r="E468" s="101"/>
      <c r="F468" s="101"/>
      <c r="G468" s="101"/>
      <c r="H468" s="101"/>
      <c r="I468" s="101"/>
    </row>
    <row r="469" spans="1:9" s="93" customFormat="1" x14ac:dyDescent="0.3">
      <c r="A469" s="101"/>
      <c r="B469" s="101"/>
      <c r="C469" s="101"/>
      <c r="D469" s="101"/>
      <c r="E469" s="101"/>
      <c r="F469" s="101"/>
      <c r="G469" s="101"/>
      <c r="H469" s="101"/>
      <c r="I469" s="101"/>
    </row>
    <row r="470" spans="1:9" s="93" customFormat="1" x14ac:dyDescent="0.3">
      <c r="A470" s="101"/>
      <c r="B470" s="101"/>
      <c r="C470" s="101"/>
      <c r="D470" s="101"/>
      <c r="E470" s="101"/>
      <c r="F470" s="101"/>
      <c r="G470" s="101"/>
      <c r="H470" s="101"/>
      <c r="I470" s="101"/>
    </row>
    <row r="471" spans="1:9" s="93" customFormat="1" x14ac:dyDescent="0.3">
      <c r="A471" s="101"/>
      <c r="B471" s="101"/>
      <c r="C471" s="101"/>
      <c r="D471" s="101"/>
      <c r="E471" s="101"/>
      <c r="F471" s="101"/>
      <c r="G471" s="101"/>
      <c r="H471" s="101"/>
      <c r="I471" s="101"/>
    </row>
    <row r="472" spans="1:9" s="93" customFormat="1" x14ac:dyDescent="0.3">
      <c r="A472" s="101"/>
      <c r="B472" s="101"/>
      <c r="C472" s="101"/>
      <c r="D472" s="101"/>
      <c r="E472" s="101"/>
      <c r="F472" s="101"/>
      <c r="G472" s="101"/>
      <c r="H472" s="101"/>
      <c r="I472" s="101"/>
    </row>
    <row r="473" spans="1:9" s="93" customFormat="1" x14ac:dyDescent="0.3">
      <c r="A473" s="101"/>
      <c r="B473" s="101"/>
      <c r="C473" s="101"/>
      <c r="D473" s="101"/>
      <c r="E473" s="101"/>
      <c r="F473" s="101"/>
      <c r="G473" s="101"/>
      <c r="H473" s="101"/>
      <c r="I473" s="101"/>
    </row>
    <row r="474" spans="1:9" s="93" customFormat="1" x14ac:dyDescent="0.3">
      <c r="A474" s="101"/>
      <c r="B474" s="101"/>
      <c r="C474" s="101"/>
      <c r="D474" s="101"/>
      <c r="E474" s="101"/>
      <c r="F474" s="101"/>
      <c r="G474" s="101"/>
      <c r="H474" s="101"/>
      <c r="I474" s="101"/>
    </row>
    <row r="475" spans="1:9" s="93" customFormat="1" x14ac:dyDescent="0.3">
      <c r="A475" s="101"/>
      <c r="B475" s="101"/>
      <c r="C475" s="101"/>
      <c r="D475" s="101"/>
      <c r="E475" s="101"/>
      <c r="F475" s="101"/>
      <c r="G475" s="101"/>
      <c r="H475" s="101"/>
      <c r="I475" s="101"/>
    </row>
    <row r="476" spans="1:9" s="93" customFormat="1" x14ac:dyDescent="0.3">
      <c r="A476" s="101"/>
      <c r="B476" s="101"/>
      <c r="C476" s="101"/>
      <c r="D476" s="101"/>
      <c r="E476" s="101"/>
      <c r="F476" s="101"/>
      <c r="G476" s="101"/>
      <c r="H476" s="101"/>
      <c r="I476" s="101"/>
    </row>
    <row r="477" spans="1:9" s="93" customFormat="1" x14ac:dyDescent="0.3">
      <c r="A477" s="101"/>
      <c r="B477" s="101"/>
      <c r="C477" s="101"/>
      <c r="D477" s="101"/>
      <c r="E477" s="101"/>
      <c r="F477" s="101"/>
      <c r="G477" s="101"/>
      <c r="H477" s="101"/>
      <c r="I477" s="101"/>
    </row>
    <row r="478" spans="1:9" s="93" customFormat="1" x14ac:dyDescent="0.3">
      <c r="A478" s="101"/>
      <c r="B478" s="101"/>
      <c r="C478" s="101"/>
      <c r="D478" s="101"/>
      <c r="E478" s="101"/>
      <c r="F478" s="101"/>
      <c r="G478" s="101"/>
      <c r="H478" s="101"/>
      <c r="I478" s="101"/>
    </row>
    <row r="479" spans="1:9" s="93" customFormat="1" x14ac:dyDescent="0.3">
      <c r="A479" s="101"/>
      <c r="B479" s="101"/>
      <c r="C479" s="101"/>
      <c r="D479" s="101"/>
      <c r="E479" s="101"/>
      <c r="F479" s="101"/>
      <c r="G479" s="101"/>
      <c r="H479" s="101"/>
      <c r="I479" s="101"/>
    </row>
    <row r="480" spans="1:9" s="93" customFormat="1" x14ac:dyDescent="0.3">
      <c r="A480" s="101"/>
      <c r="B480" s="101"/>
      <c r="C480" s="101"/>
      <c r="D480" s="101"/>
      <c r="E480" s="101"/>
      <c r="F480" s="101"/>
      <c r="G480" s="101"/>
      <c r="H480" s="101"/>
      <c r="I480" s="101"/>
    </row>
    <row r="481" spans="1:9" s="93" customFormat="1" x14ac:dyDescent="0.3">
      <c r="A481" s="101"/>
      <c r="B481" s="101"/>
      <c r="C481" s="101"/>
      <c r="D481" s="101"/>
      <c r="E481" s="101"/>
      <c r="F481" s="101"/>
      <c r="G481" s="101"/>
      <c r="H481" s="101"/>
      <c r="I481" s="101"/>
    </row>
    <row r="482" spans="1:9" s="93" customFormat="1" x14ac:dyDescent="0.3">
      <c r="A482" s="101"/>
      <c r="B482" s="101"/>
      <c r="C482" s="101"/>
      <c r="D482" s="101"/>
      <c r="E482" s="101"/>
      <c r="F482" s="101"/>
      <c r="G482" s="101"/>
      <c r="H482" s="101"/>
      <c r="I482" s="101"/>
    </row>
    <row r="483" spans="1:9" s="93" customFormat="1" x14ac:dyDescent="0.3">
      <c r="A483" s="101"/>
      <c r="B483" s="101"/>
      <c r="C483" s="101"/>
      <c r="D483" s="101"/>
      <c r="E483" s="101"/>
      <c r="F483" s="101"/>
      <c r="G483" s="101"/>
      <c r="H483" s="101"/>
      <c r="I483" s="101"/>
    </row>
    <row r="484" spans="1:9" s="93" customFormat="1" x14ac:dyDescent="0.3">
      <c r="A484" s="101"/>
      <c r="B484" s="101"/>
      <c r="C484" s="101"/>
      <c r="D484" s="101"/>
      <c r="E484" s="101"/>
      <c r="F484" s="101"/>
      <c r="G484" s="101"/>
      <c r="H484" s="101"/>
      <c r="I484" s="101"/>
    </row>
    <row r="485" spans="1:9" s="93" customFormat="1" x14ac:dyDescent="0.3">
      <c r="A485" s="101"/>
      <c r="B485" s="101"/>
      <c r="C485" s="101"/>
      <c r="D485" s="101"/>
      <c r="E485" s="101"/>
      <c r="F485" s="101"/>
      <c r="G485" s="101"/>
      <c r="H485" s="101"/>
      <c r="I485" s="101"/>
    </row>
    <row r="486" spans="1:9" s="93" customFormat="1" x14ac:dyDescent="0.3">
      <c r="A486" s="101"/>
      <c r="B486" s="101"/>
      <c r="C486" s="101"/>
      <c r="D486" s="101"/>
      <c r="E486" s="101"/>
      <c r="F486" s="101"/>
      <c r="G486" s="101"/>
      <c r="H486" s="101"/>
      <c r="I486" s="101"/>
    </row>
    <row r="487" spans="1:9" s="93" customFormat="1" x14ac:dyDescent="0.3">
      <c r="A487" s="101"/>
      <c r="B487" s="101"/>
      <c r="C487" s="101"/>
      <c r="D487" s="101"/>
      <c r="E487" s="101"/>
      <c r="F487" s="101"/>
      <c r="G487" s="101"/>
      <c r="H487" s="101"/>
      <c r="I487" s="101"/>
    </row>
    <row r="488" spans="1:9" s="93" customFormat="1" x14ac:dyDescent="0.3">
      <c r="A488" s="101"/>
      <c r="B488" s="101"/>
      <c r="C488" s="101"/>
      <c r="D488" s="101"/>
      <c r="E488" s="101"/>
      <c r="F488" s="101"/>
      <c r="G488" s="101"/>
      <c r="H488" s="101"/>
      <c r="I488" s="101"/>
    </row>
    <row r="489" spans="1:9" s="93" customFormat="1" x14ac:dyDescent="0.3">
      <c r="A489" s="101"/>
      <c r="B489" s="101"/>
      <c r="C489" s="101"/>
      <c r="D489" s="101"/>
      <c r="E489" s="101"/>
      <c r="F489" s="101"/>
      <c r="G489" s="101"/>
      <c r="H489" s="101"/>
      <c r="I489" s="101"/>
    </row>
    <row r="490" spans="1:9" s="93" customFormat="1" x14ac:dyDescent="0.3">
      <c r="A490" s="101"/>
      <c r="B490" s="101"/>
      <c r="C490" s="101"/>
      <c r="D490" s="101"/>
      <c r="E490" s="101"/>
      <c r="F490" s="101"/>
      <c r="G490" s="101"/>
      <c r="H490" s="101"/>
      <c r="I490" s="101"/>
    </row>
    <row r="491" spans="1:9" s="93" customFormat="1" x14ac:dyDescent="0.3">
      <c r="A491" s="101"/>
      <c r="B491" s="101"/>
      <c r="C491" s="101"/>
      <c r="D491" s="101"/>
      <c r="E491" s="101"/>
      <c r="F491" s="101"/>
      <c r="G491" s="101"/>
      <c r="H491" s="101"/>
      <c r="I491" s="101"/>
    </row>
    <row r="492" spans="1:9" s="93" customFormat="1" x14ac:dyDescent="0.3">
      <c r="A492" s="101"/>
      <c r="B492" s="101"/>
      <c r="C492" s="101"/>
      <c r="D492" s="101"/>
      <c r="E492" s="101"/>
      <c r="F492" s="101"/>
      <c r="G492" s="101"/>
      <c r="H492" s="101"/>
      <c r="I492" s="101"/>
    </row>
    <row r="493" spans="1:9" s="93" customFormat="1" x14ac:dyDescent="0.3">
      <c r="A493" s="101"/>
      <c r="B493" s="101"/>
      <c r="C493" s="101"/>
      <c r="D493" s="101"/>
      <c r="E493" s="101"/>
      <c r="F493" s="101"/>
      <c r="G493" s="101"/>
      <c r="H493" s="101"/>
      <c r="I493" s="101"/>
    </row>
    <row r="494" spans="1:9" s="93" customFormat="1" x14ac:dyDescent="0.3">
      <c r="A494" s="101"/>
      <c r="B494" s="101"/>
      <c r="C494" s="101"/>
      <c r="D494" s="101"/>
      <c r="E494" s="101"/>
      <c r="F494" s="101"/>
      <c r="G494" s="101"/>
      <c r="H494" s="101"/>
      <c r="I494" s="101"/>
    </row>
    <row r="495" spans="1:9" s="93" customFormat="1" x14ac:dyDescent="0.3">
      <c r="A495" s="101"/>
      <c r="B495" s="101"/>
      <c r="C495" s="101"/>
      <c r="D495" s="101"/>
      <c r="E495" s="101"/>
      <c r="F495" s="101"/>
      <c r="G495" s="101"/>
      <c r="H495" s="101"/>
      <c r="I495" s="101"/>
    </row>
    <row r="496" spans="1:9" s="93" customFormat="1" x14ac:dyDescent="0.3">
      <c r="A496" s="101"/>
      <c r="B496" s="101"/>
      <c r="C496" s="101"/>
      <c r="D496" s="101"/>
      <c r="E496" s="101"/>
      <c r="F496" s="101"/>
      <c r="G496" s="101"/>
      <c r="H496" s="101"/>
      <c r="I496" s="101"/>
    </row>
    <row r="497" spans="1:9" s="93" customFormat="1" x14ac:dyDescent="0.3">
      <c r="A497" s="101"/>
      <c r="B497" s="101"/>
      <c r="C497" s="101"/>
      <c r="D497" s="101"/>
      <c r="E497" s="101"/>
      <c r="F497" s="101"/>
      <c r="G497" s="101"/>
      <c r="H497" s="101"/>
      <c r="I497" s="101"/>
    </row>
    <row r="498" spans="1:9" s="93" customFormat="1" x14ac:dyDescent="0.3">
      <c r="A498" s="101"/>
      <c r="B498" s="101"/>
      <c r="C498" s="101"/>
      <c r="D498" s="101"/>
      <c r="E498" s="101"/>
      <c r="F498" s="101"/>
      <c r="G498" s="101"/>
      <c r="H498" s="101"/>
      <c r="I498" s="101"/>
    </row>
    <row r="499" spans="1:9" s="93" customFormat="1" x14ac:dyDescent="0.3">
      <c r="A499" s="101"/>
      <c r="B499" s="101"/>
      <c r="C499" s="101"/>
      <c r="D499" s="101"/>
      <c r="E499" s="101"/>
      <c r="F499" s="101"/>
      <c r="G499" s="101"/>
      <c r="H499" s="101"/>
      <c r="I499" s="101"/>
    </row>
    <row r="500" spans="1:9" s="93" customFormat="1" x14ac:dyDescent="0.3">
      <c r="A500" s="101"/>
      <c r="B500" s="101"/>
      <c r="C500" s="101"/>
      <c r="D500" s="101"/>
      <c r="E500" s="101"/>
      <c r="F500" s="101"/>
      <c r="G500" s="101"/>
      <c r="H500" s="101"/>
      <c r="I500" s="101"/>
    </row>
    <row r="501" spans="1:9" s="93" customFormat="1" x14ac:dyDescent="0.3">
      <c r="A501" s="101"/>
      <c r="B501" s="101"/>
      <c r="C501" s="101"/>
      <c r="D501" s="101"/>
      <c r="E501" s="101"/>
      <c r="F501" s="101"/>
      <c r="G501" s="101"/>
      <c r="H501" s="101"/>
      <c r="I501" s="101"/>
    </row>
    <row r="502" spans="1:9" s="93" customFormat="1" x14ac:dyDescent="0.3">
      <c r="A502" s="101"/>
      <c r="B502" s="101"/>
      <c r="C502" s="101"/>
      <c r="D502" s="101"/>
      <c r="E502" s="101"/>
      <c r="F502" s="101"/>
      <c r="G502" s="101"/>
      <c r="H502" s="101"/>
      <c r="I502" s="101"/>
    </row>
    <row r="503" spans="1:9" s="93" customFormat="1" x14ac:dyDescent="0.3">
      <c r="A503" s="101"/>
      <c r="B503" s="101"/>
      <c r="C503" s="101"/>
      <c r="D503" s="101"/>
      <c r="E503" s="101"/>
      <c r="F503" s="101"/>
      <c r="G503" s="101"/>
      <c r="H503" s="101"/>
      <c r="I503" s="101"/>
    </row>
    <row r="504" spans="1:9" s="93" customFormat="1" x14ac:dyDescent="0.3">
      <c r="A504" s="101"/>
      <c r="B504" s="101"/>
      <c r="C504" s="101"/>
      <c r="D504" s="101"/>
      <c r="E504" s="101"/>
      <c r="F504" s="101"/>
      <c r="G504" s="101"/>
      <c r="H504" s="101"/>
      <c r="I504" s="101"/>
    </row>
    <row r="505" spans="1:9" s="93" customFormat="1" x14ac:dyDescent="0.3">
      <c r="A505" s="101"/>
      <c r="B505" s="101"/>
      <c r="C505" s="101"/>
      <c r="D505" s="101"/>
      <c r="E505" s="101"/>
      <c r="F505" s="101"/>
      <c r="G505" s="101"/>
      <c r="H505" s="101"/>
      <c r="I505" s="101"/>
    </row>
    <row r="506" spans="1:9" s="93" customFormat="1" x14ac:dyDescent="0.3">
      <c r="A506" s="101"/>
      <c r="B506" s="101"/>
      <c r="C506" s="101"/>
      <c r="D506" s="101"/>
      <c r="E506" s="101"/>
      <c r="F506" s="101"/>
      <c r="G506" s="101"/>
      <c r="H506" s="101"/>
      <c r="I506" s="101"/>
    </row>
    <row r="507" spans="1:9" s="93" customFormat="1" x14ac:dyDescent="0.3">
      <c r="A507" s="101"/>
      <c r="B507" s="101"/>
      <c r="C507" s="101"/>
      <c r="D507" s="101"/>
      <c r="E507" s="101"/>
      <c r="F507" s="101"/>
      <c r="G507" s="101"/>
      <c r="H507" s="101"/>
      <c r="I507" s="101"/>
    </row>
    <row r="508" spans="1:9" s="93" customFormat="1" x14ac:dyDescent="0.3">
      <c r="A508" s="101"/>
      <c r="B508" s="101"/>
      <c r="C508" s="101"/>
      <c r="D508" s="101"/>
      <c r="E508" s="101"/>
      <c r="F508" s="101"/>
      <c r="G508" s="101"/>
      <c r="H508" s="101"/>
      <c r="I508" s="101"/>
    </row>
    <row r="509" spans="1:9" s="93" customFormat="1" x14ac:dyDescent="0.3">
      <c r="A509" s="101"/>
      <c r="B509" s="101"/>
      <c r="C509" s="101"/>
      <c r="D509" s="101"/>
      <c r="E509" s="101"/>
      <c r="F509" s="101"/>
      <c r="G509" s="101"/>
      <c r="H509" s="101"/>
      <c r="I509" s="101"/>
    </row>
    <row r="510" spans="1:9" s="93" customFormat="1" x14ac:dyDescent="0.3">
      <c r="A510" s="101"/>
      <c r="B510" s="101"/>
      <c r="C510" s="101"/>
      <c r="D510" s="101"/>
      <c r="E510" s="101"/>
      <c r="F510" s="101"/>
      <c r="G510" s="101"/>
      <c r="H510" s="101"/>
      <c r="I510" s="101"/>
    </row>
    <row r="511" spans="1:9" s="93" customFormat="1" x14ac:dyDescent="0.3">
      <c r="A511" s="101"/>
      <c r="B511" s="101"/>
      <c r="C511" s="101"/>
      <c r="D511" s="101"/>
      <c r="E511" s="101"/>
      <c r="F511" s="101"/>
      <c r="G511" s="101"/>
      <c r="H511" s="101"/>
      <c r="I511" s="101"/>
    </row>
    <row r="512" spans="1:9" s="93" customFormat="1" x14ac:dyDescent="0.3">
      <c r="A512" s="101"/>
      <c r="B512" s="101"/>
      <c r="C512" s="101"/>
      <c r="D512" s="101"/>
      <c r="E512" s="101"/>
      <c r="F512" s="101"/>
      <c r="G512" s="101"/>
      <c r="H512" s="101"/>
      <c r="I512" s="101"/>
    </row>
    <row r="513" spans="1:9" s="93" customFormat="1" x14ac:dyDescent="0.3">
      <c r="A513" s="101"/>
      <c r="B513" s="101"/>
      <c r="C513" s="101"/>
      <c r="D513" s="101"/>
      <c r="E513" s="101"/>
      <c r="F513" s="101"/>
      <c r="G513" s="101"/>
      <c r="H513" s="101"/>
      <c r="I513" s="101"/>
    </row>
    <row r="514" spans="1:9" s="93" customFormat="1" x14ac:dyDescent="0.3">
      <c r="A514" s="101"/>
      <c r="B514" s="101"/>
      <c r="C514" s="101"/>
      <c r="D514" s="101"/>
      <c r="E514" s="101"/>
      <c r="F514" s="101"/>
      <c r="G514" s="101"/>
      <c r="H514" s="101"/>
      <c r="I514" s="101"/>
    </row>
    <row r="515" spans="1:9" s="93" customFormat="1" x14ac:dyDescent="0.3">
      <c r="A515" s="101"/>
      <c r="B515" s="101"/>
      <c r="C515" s="101"/>
      <c r="D515" s="101"/>
      <c r="E515" s="101"/>
      <c r="F515" s="101"/>
      <c r="G515" s="101"/>
      <c r="H515" s="101"/>
      <c r="I515" s="101"/>
    </row>
    <row r="516" spans="1:9" s="93" customFormat="1" x14ac:dyDescent="0.3">
      <c r="A516" s="101"/>
      <c r="B516" s="101"/>
      <c r="C516" s="101"/>
      <c r="D516" s="101"/>
      <c r="E516" s="101"/>
      <c r="F516" s="101"/>
      <c r="G516" s="101"/>
      <c r="H516" s="101"/>
      <c r="I516" s="101"/>
    </row>
    <row r="517" spans="1:9" s="93" customFormat="1" x14ac:dyDescent="0.3">
      <c r="A517" s="101"/>
      <c r="B517" s="101"/>
      <c r="C517" s="101"/>
      <c r="D517" s="101"/>
      <c r="E517" s="101"/>
      <c r="F517" s="101"/>
      <c r="G517" s="101"/>
      <c r="H517" s="101"/>
      <c r="I517" s="101"/>
    </row>
    <row r="518" spans="1:9" s="93" customFormat="1" x14ac:dyDescent="0.3">
      <c r="A518" s="101"/>
      <c r="B518" s="101"/>
      <c r="C518" s="101"/>
      <c r="D518" s="101"/>
      <c r="E518" s="101"/>
      <c r="F518" s="101"/>
      <c r="G518" s="101"/>
      <c r="H518" s="101"/>
      <c r="I518" s="101"/>
    </row>
    <row r="519" spans="1:9" s="93" customFormat="1" x14ac:dyDescent="0.3">
      <c r="A519" s="101"/>
      <c r="B519" s="101"/>
      <c r="C519" s="101"/>
      <c r="D519" s="101"/>
      <c r="E519" s="101"/>
      <c r="F519" s="101"/>
      <c r="G519" s="101"/>
      <c r="H519" s="101"/>
      <c r="I519" s="101"/>
    </row>
    <row r="520" spans="1:9" s="93" customFormat="1" ht="15" customHeight="1" x14ac:dyDescent="0.3">
      <c r="A520" s="101"/>
      <c r="B520" s="101"/>
      <c r="C520" s="101"/>
      <c r="D520" s="101"/>
      <c r="E520" s="101"/>
      <c r="F520" s="101"/>
      <c r="G520" s="101"/>
      <c r="H520" s="101"/>
      <c r="I520" s="101"/>
    </row>
    <row r="521" spans="1:9" s="93" customFormat="1" x14ac:dyDescent="0.3">
      <c r="A521" s="101"/>
      <c r="B521" s="101"/>
      <c r="C521" s="101"/>
      <c r="D521" s="101"/>
      <c r="E521" s="101"/>
      <c r="F521" s="101"/>
      <c r="G521" s="101"/>
      <c r="H521" s="101"/>
      <c r="I521" s="101"/>
    </row>
    <row r="522" spans="1:9" s="93" customFormat="1" x14ac:dyDescent="0.3">
      <c r="A522" s="101"/>
      <c r="B522" s="101"/>
      <c r="C522" s="101"/>
      <c r="D522" s="101"/>
      <c r="E522" s="101"/>
      <c r="F522" s="101"/>
      <c r="G522" s="101"/>
      <c r="H522" s="101"/>
      <c r="I522" s="101"/>
    </row>
    <row r="523" spans="1:9" s="93" customFormat="1" x14ac:dyDescent="0.3">
      <c r="A523" s="101"/>
      <c r="B523" s="101"/>
      <c r="C523" s="101"/>
      <c r="D523" s="101"/>
      <c r="E523" s="101"/>
      <c r="F523" s="101"/>
      <c r="G523" s="101"/>
      <c r="H523" s="101"/>
      <c r="I523" s="101"/>
    </row>
    <row r="524" spans="1:9" s="93" customFormat="1" x14ac:dyDescent="0.3">
      <c r="A524" s="101"/>
      <c r="B524" s="101"/>
      <c r="C524" s="101"/>
      <c r="D524" s="101"/>
      <c r="E524" s="101"/>
      <c r="F524" s="101"/>
      <c r="G524" s="101"/>
      <c r="H524" s="101"/>
      <c r="I524" s="101"/>
    </row>
    <row r="525" spans="1:9" s="93" customFormat="1" x14ac:dyDescent="0.3">
      <c r="A525" s="101"/>
      <c r="B525" s="101"/>
      <c r="C525" s="101"/>
      <c r="D525" s="101"/>
      <c r="E525" s="101"/>
      <c r="F525" s="101"/>
      <c r="G525" s="101"/>
      <c r="H525" s="101"/>
      <c r="I525" s="101"/>
    </row>
    <row r="526" spans="1:9" s="93" customFormat="1" x14ac:dyDescent="0.3">
      <c r="A526" s="101"/>
      <c r="B526" s="101"/>
      <c r="C526" s="101"/>
      <c r="D526" s="101"/>
      <c r="E526" s="101"/>
      <c r="F526" s="101"/>
      <c r="G526" s="101"/>
      <c r="H526" s="101"/>
      <c r="I526" s="101"/>
    </row>
    <row r="527" spans="1:9" s="93" customFormat="1" x14ac:dyDescent="0.3">
      <c r="A527" s="101"/>
      <c r="B527" s="101"/>
      <c r="C527" s="101"/>
      <c r="D527" s="101"/>
      <c r="E527" s="101"/>
      <c r="F527" s="101"/>
      <c r="G527" s="101"/>
      <c r="H527" s="101"/>
      <c r="I527" s="101"/>
    </row>
    <row r="528" spans="1:9" s="93" customFormat="1" x14ac:dyDescent="0.3">
      <c r="A528" s="101"/>
      <c r="B528" s="101"/>
      <c r="C528" s="101"/>
      <c r="D528" s="101"/>
      <c r="E528" s="101"/>
      <c r="F528" s="101"/>
      <c r="G528" s="101"/>
      <c r="H528" s="101"/>
      <c r="I528" s="101"/>
    </row>
    <row r="529" spans="1:9" s="90" customFormat="1" x14ac:dyDescent="0.3">
      <c r="A529" s="101"/>
      <c r="B529" s="101"/>
      <c r="C529" s="101"/>
      <c r="D529" s="101"/>
      <c r="E529" s="101"/>
      <c r="F529" s="101"/>
      <c r="G529" s="101"/>
      <c r="H529" s="101"/>
      <c r="I529" s="101"/>
    </row>
    <row r="530" spans="1:9" s="90" customFormat="1" x14ac:dyDescent="0.3">
      <c r="A530" s="101"/>
      <c r="B530" s="101"/>
      <c r="C530" s="101"/>
      <c r="D530" s="101"/>
      <c r="E530" s="101"/>
      <c r="F530" s="101"/>
      <c r="G530" s="101"/>
      <c r="H530" s="101"/>
      <c r="I530" s="101"/>
    </row>
    <row r="531" spans="1:9" s="90" customFormat="1" x14ac:dyDescent="0.3">
      <c r="A531" s="101"/>
      <c r="B531" s="101"/>
      <c r="C531" s="101"/>
      <c r="D531" s="101"/>
      <c r="E531" s="101"/>
      <c r="F531" s="101"/>
      <c r="G531" s="101"/>
      <c r="H531" s="101"/>
      <c r="I531" s="101"/>
    </row>
    <row r="532" spans="1:9" s="90" customFormat="1" x14ac:dyDescent="0.3">
      <c r="A532" s="101"/>
      <c r="B532" s="101"/>
      <c r="C532" s="101"/>
      <c r="D532" s="101"/>
      <c r="E532" s="101"/>
      <c r="F532" s="101"/>
      <c r="G532" s="101"/>
      <c r="H532" s="101"/>
      <c r="I532" s="101"/>
    </row>
    <row r="533" spans="1:9" s="90" customFormat="1" x14ac:dyDescent="0.3">
      <c r="A533" s="101"/>
      <c r="B533" s="101"/>
      <c r="C533" s="101"/>
      <c r="D533" s="101"/>
      <c r="E533" s="101"/>
      <c r="F533" s="101"/>
      <c r="G533" s="101"/>
      <c r="H533" s="101"/>
      <c r="I533" s="101"/>
    </row>
    <row r="534" spans="1:9" s="90" customFormat="1" x14ac:dyDescent="0.3">
      <c r="A534" s="101"/>
      <c r="B534" s="101"/>
      <c r="C534" s="101"/>
      <c r="D534" s="101"/>
      <c r="E534" s="101"/>
      <c r="F534" s="101"/>
      <c r="G534" s="101"/>
      <c r="H534" s="101"/>
      <c r="I534" s="101"/>
    </row>
    <row r="535" spans="1:9" s="90" customFormat="1" x14ac:dyDescent="0.3">
      <c r="A535" s="101"/>
      <c r="B535" s="101"/>
      <c r="C535" s="101"/>
      <c r="D535" s="101"/>
      <c r="E535" s="101"/>
      <c r="F535" s="101"/>
      <c r="G535" s="101"/>
      <c r="H535" s="101"/>
      <c r="I535" s="101"/>
    </row>
    <row r="536" spans="1:9" s="90" customFormat="1" x14ac:dyDescent="0.3">
      <c r="A536" s="101"/>
      <c r="B536" s="101"/>
      <c r="C536" s="101"/>
      <c r="D536" s="101"/>
      <c r="E536" s="101"/>
      <c r="F536" s="101"/>
      <c r="G536" s="101"/>
      <c r="H536" s="101"/>
      <c r="I536" s="101"/>
    </row>
    <row r="537" spans="1:9" s="90" customFormat="1" x14ac:dyDescent="0.3">
      <c r="A537" s="101"/>
      <c r="B537" s="101"/>
      <c r="C537" s="101"/>
      <c r="D537" s="101"/>
      <c r="E537" s="101"/>
      <c r="F537" s="101"/>
      <c r="G537" s="101"/>
      <c r="H537" s="101"/>
      <c r="I537" s="101"/>
    </row>
    <row r="538" spans="1:9" s="90" customFormat="1" x14ac:dyDescent="0.3">
      <c r="A538" s="101"/>
      <c r="B538" s="101"/>
      <c r="C538" s="101"/>
      <c r="D538" s="101"/>
      <c r="E538" s="101"/>
      <c r="F538" s="101"/>
      <c r="G538" s="101"/>
      <c r="H538" s="101"/>
      <c r="I538" s="101"/>
    </row>
    <row r="539" spans="1:9" s="90" customFormat="1" x14ac:dyDescent="0.3">
      <c r="A539" s="101"/>
      <c r="B539" s="101"/>
      <c r="C539" s="101"/>
      <c r="D539" s="101"/>
      <c r="E539" s="101"/>
      <c r="F539" s="101"/>
      <c r="G539" s="101"/>
      <c r="H539" s="101"/>
      <c r="I539" s="101"/>
    </row>
    <row r="540" spans="1:9" s="90" customFormat="1" x14ac:dyDescent="0.3">
      <c r="A540" s="101"/>
      <c r="B540" s="101"/>
      <c r="C540" s="101"/>
      <c r="D540" s="101"/>
      <c r="E540" s="101"/>
      <c r="F540" s="101"/>
      <c r="G540" s="101"/>
      <c r="H540" s="101"/>
      <c r="I540" s="101"/>
    </row>
    <row r="541" spans="1:9" s="90" customFormat="1" x14ac:dyDescent="0.3">
      <c r="A541" s="101"/>
      <c r="B541" s="101"/>
      <c r="C541" s="101"/>
      <c r="D541" s="101"/>
      <c r="E541" s="101"/>
      <c r="F541" s="101"/>
      <c r="G541" s="101"/>
      <c r="H541" s="101"/>
      <c r="I541" s="101"/>
    </row>
    <row r="542" spans="1:9" s="90" customFormat="1" x14ac:dyDescent="0.3">
      <c r="A542" s="101"/>
      <c r="B542" s="101"/>
      <c r="C542" s="101"/>
      <c r="D542" s="101"/>
      <c r="E542" s="101"/>
      <c r="F542" s="101"/>
      <c r="G542" s="101"/>
      <c r="H542" s="101"/>
      <c r="I542" s="101"/>
    </row>
    <row r="543" spans="1:9" s="90" customFormat="1" x14ac:dyDescent="0.3">
      <c r="A543" s="101"/>
      <c r="B543" s="101"/>
      <c r="C543" s="101"/>
      <c r="D543" s="101"/>
      <c r="E543" s="101"/>
      <c r="F543" s="101"/>
      <c r="G543" s="101"/>
      <c r="H543" s="101"/>
      <c r="I543" s="101"/>
    </row>
    <row r="544" spans="1:9" s="90" customFormat="1" x14ac:dyDescent="0.3">
      <c r="A544" s="101"/>
      <c r="B544" s="101"/>
      <c r="C544" s="101"/>
      <c r="D544" s="101"/>
      <c r="E544" s="101"/>
      <c r="F544" s="101"/>
      <c r="G544" s="101"/>
      <c r="H544" s="101"/>
      <c r="I544" s="101"/>
    </row>
    <row r="545" spans="1:9" s="90" customFormat="1" x14ac:dyDescent="0.3">
      <c r="A545" s="101"/>
      <c r="B545" s="101"/>
      <c r="C545" s="101"/>
      <c r="D545" s="101"/>
      <c r="E545" s="101"/>
      <c r="F545" s="101"/>
      <c r="G545" s="101"/>
      <c r="H545" s="101"/>
      <c r="I545" s="101"/>
    </row>
    <row r="546" spans="1:9" s="90" customFormat="1" x14ac:dyDescent="0.3">
      <c r="A546" s="101"/>
      <c r="B546" s="101"/>
      <c r="C546" s="101"/>
      <c r="D546" s="101"/>
      <c r="E546" s="101"/>
      <c r="F546" s="101"/>
      <c r="G546" s="101"/>
      <c r="H546" s="101"/>
      <c r="I546" s="101"/>
    </row>
    <row r="547" spans="1:9" s="90" customFormat="1" x14ac:dyDescent="0.3">
      <c r="A547" s="101"/>
      <c r="B547" s="101"/>
      <c r="C547" s="101"/>
      <c r="D547" s="101"/>
      <c r="E547" s="101"/>
      <c r="F547" s="101"/>
      <c r="G547" s="101"/>
      <c r="H547" s="101"/>
      <c r="I547" s="101"/>
    </row>
    <row r="548" spans="1:9" s="90" customFormat="1" x14ac:dyDescent="0.3">
      <c r="A548" s="101"/>
      <c r="B548" s="101"/>
      <c r="C548" s="101"/>
      <c r="D548" s="101"/>
      <c r="E548" s="101"/>
      <c r="F548" s="101"/>
      <c r="G548" s="101"/>
      <c r="H548" s="101"/>
      <c r="I548" s="101"/>
    </row>
    <row r="549" spans="1:9" s="90" customFormat="1" x14ac:dyDescent="0.3">
      <c r="A549" s="101"/>
      <c r="B549" s="101"/>
      <c r="C549" s="101"/>
      <c r="D549" s="101"/>
      <c r="E549" s="101"/>
      <c r="F549" s="101"/>
      <c r="G549" s="101"/>
      <c r="H549" s="101"/>
      <c r="I549" s="101"/>
    </row>
    <row r="550" spans="1:9" s="90" customFormat="1" x14ac:dyDescent="0.3">
      <c r="A550" s="101"/>
      <c r="B550" s="101"/>
      <c r="C550" s="101"/>
      <c r="D550" s="101"/>
      <c r="E550" s="101"/>
      <c r="F550" s="101"/>
      <c r="G550" s="101"/>
      <c r="H550" s="101"/>
      <c r="I550" s="101"/>
    </row>
    <row r="551" spans="1:9" s="90" customFormat="1" x14ac:dyDescent="0.3">
      <c r="A551" s="101"/>
      <c r="B551" s="101"/>
      <c r="C551" s="101"/>
      <c r="D551" s="101"/>
      <c r="E551" s="101"/>
      <c r="F551" s="101"/>
      <c r="G551" s="101"/>
      <c r="H551" s="101"/>
      <c r="I551" s="101"/>
    </row>
    <row r="552" spans="1:9" s="90" customFormat="1" x14ac:dyDescent="0.3">
      <c r="A552" s="101"/>
      <c r="B552" s="101"/>
      <c r="C552" s="101"/>
      <c r="D552" s="101"/>
      <c r="E552" s="101"/>
      <c r="F552" s="101"/>
      <c r="G552" s="101"/>
      <c r="H552" s="101"/>
      <c r="I552" s="101"/>
    </row>
    <row r="553" spans="1:9" s="90" customFormat="1" x14ac:dyDescent="0.3">
      <c r="A553" s="101"/>
      <c r="B553" s="101"/>
      <c r="C553" s="101"/>
      <c r="D553" s="101"/>
      <c r="E553" s="101"/>
      <c r="F553" s="101"/>
      <c r="G553" s="101"/>
      <c r="H553" s="101"/>
      <c r="I553" s="101"/>
    </row>
    <row r="554" spans="1:9" s="90" customFormat="1" x14ac:dyDescent="0.3">
      <c r="A554" s="101"/>
      <c r="B554" s="101"/>
      <c r="C554" s="101"/>
      <c r="D554" s="101"/>
      <c r="E554" s="101"/>
      <c r="F554" s="101"/>
      <c r="G554" s="101"/>
      <c r="H554" s="101"/>
      <c r="I554" s="101"/>
    </row>
    <row r="555" spans="1:9" s="90" customFormat="1" x14ac:dyDescent="0.3">
      <c r="A555" s="101"/>
      <c r="B555" s="101"/>
      <c r="C555" s="101"/>
      <c r="D555" s="101"/>
      <c r="E555" s="101"/>
      <c r="F555" s="101"/>
      <c r="G555" s="101"/>
      <c r="H555" s="101"/>
      <c r="I555" s="101"/>
    </row>
    <row r="556" spans="1:9" s="90" customFormat="1" x14ac:dyDescent="0.3">
      <c r="A556" s="101"/>
      <c r="B556" s="101"/>
      <c r="C556" s="101"/>
      <c r="D556" s="101"/>
      <c r="E556" s="101"/>
      <c r="F556" s="101"/>
      <c r="G556" s="101"/>
      <c r="H556" s="101"/>
      <c r="I556" s="101"/>
    </row>
    <row r="557" spans="1:9" s="90" customFormat="1" x14ac:dyDescent="0.3">
      <c r="A557" s="101"/>
      <c r="B557" s="101"/>
      <c r="C557" s="101"/>
      <c r="D557" s="101"/>
      <c r="E557" s="101"/>
      <c r="F557" s="101"/>
      <c r="G557" s="101"/>
      <c r="H557" s="101"/>
      <c r="I557" s="101"/>
    </row>
    <row r="558" spans="1:9" s="90" customFormat="1" x14ac:dyDescent="0.3">
      <c r="A558" s="101"/>
      <c r="B558" s="101"/>
      <c r="C558" s="101"/>
      <c r="D558" s="101"/>
      <c r="E558" s="101"/>
      <c r="F558" s="101"/>
      <c r="G558" s="101"/>
      <c r="H558" s="101"/>
      <c r="I558" s="101"/>
    </row>
    <row r="559" spans="1:9" s="90" customFormat="1" x14ac:dyDescent="0.3">
      <c r="A559" s="101"/>
      <c r="B559" s="101"/>
      <c r="C559" s="101"/>
      <c r="D559" s="101"/>
      <c r="E559" s="101"/>
      <c r="F559" s="101"/>
      <c r="G559" s="101"/>
      <c r="H559" s="101"/>
      <c r="I559" s="101"/>
    </row>
    <row r="560" spans="1:9" s="90" customFormat="1" x14ac:dyDescent="0.3">
      <c r="A560" s="101"/>
      <c r="B560" s="101"/>
      <c r="C560" s="101"/>
      <c r="D560" s="101"/>
      <c r="E560" s="101"/>
      <c r="F560" s="101"/>
      <c r="G560" s="101"/>
      <c r="H560" s="101"/>
      <c r="I560" s="101"/>
    </row>
    <row r="561" spans="1:9" s="90" customFormat="1" x14ac:dyDescent="0.3">
      <c r="A561" s="101"/>
      <c r="B561" s="101"/>
      <c r="C561" s="101"/>
      <c r="D561" s="101"/>
      <c r="E561" s="101"/>
      <c r="F561" s="101"/>
      <c r="G561" s="101"/>
      <c r="H561" s="101"/>
      <c r="I561" s="101"/>
    </row>
    <row r="562" spans="1:9" s="90" customFormat="1" x14ac:dyDescent="0.3">
      <c r="A562" s="101"/>
      <c r="B562" s="101"/>
      <c r="C562" s="101"/>
      <c r="D562" s="101"/>
      <c r="E562" s="101"/>
      <c r="F562" s="101"/>
      <c r="G562" s="101"/>
      <c r="H562" s="101"/>
      <c r="I562" s="101"/>
    </row>
    <row r="563" spans="1:9" s="90" customFormat="1" x14ac:dyDescent="0.3">
      <c r="A563" s="101"/>
      <c r="B563" s="101"/>
      <c r="C563" s="101"/>
      <c r="D563" s="101"/>
      <c r="E563" s="101"/>
      <c r="F563" s="101"/>
      <c r="G563" s="101"/>
      <c r="H563" s="101"/>
      <c r="I563" s="101"/>
    </row>
    <row r="564" spans="1:9" s="90" customFormat="1" x14ac:dyDescent="0.3">
      <c r="A564" s="101"/>
      <c r="B564" s="101"/>
      <c r="C564" s="101"/>
      <c r="D564" s="101"/>
      <c r="E564" s="101"/>
      <c r="F564" s="101"/>
      <c r="G564" s="101"/>
      <c r="H564" s="101"/>
      <c r="I564" s="101"/>
    </row>
    <row r="565" spans="1:9" s="90" customFormat="1" x14ac:dyDescent="0.3">
      <c r="A565" s="101"/>
      <c r="B565" s="101"/>
      <c r="C565" s="101"/>
      <c r="D565" s="101"/>
      <c r="E565" s="101"/>
      <c r="F565" s="101"/>
      <c r="G565" s="101"/>
      <c r="H565" s="101"/>
      <c r="I565" s="101"/>
    </row>
    <row r="566" spans="1:9" s="90" customFormat="1" x14ac:dyDescent="0.3">
      <c r="A566" s="101"/>
      <c r="B566" s="101"/>
      <c r="C566" s="101"/>
      <c r="D566" s="101"/>
      <c r="E566" s="101"/>
      <c r="F566" s="101"/>
      <c r="G566" s="101"/>
      <c r="H566" s="101"/>
      <c r="I566" s="101"/>
    </row>
    <row r="567" spans="1:9" s="90" customFormat="1" x14ac:dyDescent="0.3">
      <c r="A567" s="101"/>
      <c r="B567" s="101"/>
      <c r="C567" s="101"/>
      <c r="D567" s="101"/>
      <c r="E567" s="101"/>
      <c r="F567" s="101"/>
      <c r="G567" s="101"/>
      <c r="H567" s="101"/>
      <c r="I567" s="101"/>
    </row>
    <row r="568" spans="1:9" s="90" customFormat="1" ht="25.5" customHeight="1" x14ac:dyDescent="0.3">
      <c r="A568" s="101"/>
      <c r="B568" s="101"/>
      <c r="C568" s="101"/>
      <c r="D568" s="101"/>
      <c r="E568" s="101"/>
      <c r="F568" s="101"/>
      <c r="G568" s="101"/>
      <c r="H568" s="101"/>
      <c r="I568" s="101"/>
    </row>
    <row r="569" spans="1:9" s="90" customFormat="1" x14ac:dyDescent="0.3">
      <c r="A569" s="101"/>
      <c r="B569" s="101"/>
      <c r="C569" s="101"/>
      <c r="D569" s="101"/>
      <c r="E569" s="101"/>
      <c r="F569" s="101"/>
      <c r="G569" s="101"/>
      <c r="H569" s="101"/>
      <c r="I569" s="101"/>
    </row>
    <row r="570" spans="1:9" s="90" customFormat="1" x14ac:dyDescent="0.3">
      <c r="A570" s="101"/>
      <c r="B570" s="101"/>
      <c r="C570" s="101"/>
      <c r="D570" s="101"/>
      <c r="E570" s="101"/>
      <c r="F570" s="101"/>
      <c r="G570" s="101"/>
      <c r="H570" s="101"/>
      <c r="I570" s="101"/>
    </row>
    <row r="571" spans="1:9" s="90" customFormat="1" x14ac:dyDescent="0.3">
      <c r="A571" s="101"/>
      <c r="B571" s="101"/>
      <c r="C571" s="101"/>
      <c r="D571" s="101"/>
      <c r="E571" s="101"/>
      <c r="F571" s="101"/>
      <c r="G571" s="101"/>
      <c r="H571" s="101"/>
      <c r="I571" s="101"/>
    </row>
    <row r="572" spans="1:9" s="90" customFormat="1" x14ac:dyDescent="0.3">
      <c r="A572" s="101"/>
      <c r="B572" s="101"/>
      <c r="C572" s="101"/>
      <c r="D572" s="101"/>
      <c r="E572" s="101"/>
      <c r="F572" s="101"/>
      <c r="G572" s="101"/>
      <c r="H572" s="101"/>
      <c r="I572" s="101"/>
    </row>
    <row r="573" spans="1:9" s="90" customFormat="1" x14ac:dyDescent="0.3">
      <c r="A573" s="101"/>
      <c r="B573" s="101"/>
      <c r="C573" s="101"/>
      <c r="D573" s="101"/>
      <c r="E573" s="101"/>
      <c r="F573" s="101"/>
      <c r="G573" s="101"/>
      <c r="H573" s="101"/>
      <c r="I573" s="101"/>
    </row>
    <row r="574" spans="1:9" s="90" customFormat="1" x14ac:dyDescent="0.3">
      <c r="A574" s="101"/>
      <c r="B574" s="101"/>
      <c r="C574" s="101"/>
      <c r="D574" s="101"/>
      <c r="E574" s="101"/>
      <c r="F574" s="101"/>
      <c r="G574" s="101"/>
      <c r="H574" s="101"/>
      <c r="I574" s="101"/>
    </row>
    <row r="575" spans="1:9" s="90" customFormat="1" x14ac:dyDescent="0.3">
      <c r="A575" s="101"/>
      <c r="B575" s="101"/>
      <c r="C575" s="101"/>
      <c r="D575" s="101"/>
      <c r="E575" s="101"/>
      <c r="F575" s="101"/>
      <c r="G575" s="101"/>
      <c r="H575" s="101"/>
      <c r="I575" s="101"/>
    </row>
    <row r="576" spans="1:9" s="90" customFormat="1" x14ac:dyDescent="0.3">
      <c r="A576" s="101"/>
      <c r="B576" s="101"/>
      <c r="C576" s="101"/>
      <c r="D576" s="101"/>
      <c r="E576" s="101"/>
      <c r="F576" s="101"/>
      <c r="G576" s="101"/>
      <c r="H576" s="101"/>
      <c r="I576" s="101"/>
    </row>
    <row r="577" spans="1:14" s="90" customFormat="1" x14ac:dyDescent="0.3">
      <c r="A577" s="101"/>
      <c r="B577" s="101"/>
      <c r="C577" s="101"/>
      <c r="D577" s="101"/>
      <c r="E577" s="101"/>
      <c r="F577" s="101"/>
      <c r="G577" s="101"/>
      <c r="H577" s="101"/>
      <c r="I577" s="101"/>
      <c r="J577" s="108"/>
      <c r="K577" s="108"/>
      <c r="L577" s="93"/>
      <c r="M577" s="93"/>
      <c r="N577" s="93"/>
    </row>
    <row r="578" spans="1:14" s="90" customFormat="1" ht="15" customHeight="1" x14ac:dyDescent="0.3">
      <c r="A578" s="101"/>
      <c r="B578" s="101"/>
      <c r="C578" s="101"/>
      <c r="D578" s="101"/>
      <c r="E578" s="101"/>
      <c r="F578" s="101"/>
      <c r="G578" s="101"/>
      <c r="H578" s="101"/>
      <c r="I578" s="101"/>
      <c r="J578" s="116"/>
      <c r="K578" s="116"/>
      <c r="L578" s="117"/>
      <c r="M578" s="93"/>
      <c r="N578" s="93"/>
    </row>
    <row r="579" spans="1:14" s="90" customFormat="1" x14ac:dyDescent="0.3">
      <c r="A579" s="101"/>
      <c r="B579" s="101"/>
      <c r="C579" s="101"/>
      <c r="D579" s="101"/>
      <c r="E579" s="101"/>
      <c r="F579" s="101"/>
      <c r="G579" s="101"/>
      <c r="H579" s="101"/>
      <c r="I579" s="101"/>
      <c r="J579" s="93"/>
      <c r="K579" s="93"/>
      <c r="L579" s="121"/>
      <c r="M579" s="93"/>
      <c r="N579" s="93"/>
    </row>
    <row r="580" spans="1:14" s="90" customFormat="1" x14ac:dyDescent="0.3">
      <c r="A580" s="101"/>
      <c r="B580" s="101"/>
      <c r="C580" s="101"/>
      <c r="D580" s="101"/>
      <c r="E580" s="101"/>
      <c r="F580" s="101"/>
      <c r="G580" s="101"/>
      <c r="H580" s="101"/>
      <c r="I580" s="101"/>
      <c r="J580" s="93"/>
      <c r="K580" s="93"/>
      <c r="L580" s="121"/>
      <c r="M580" s="93"/>
      <c r="N580" s="93"/>
    </row>
    <row r="581" spans="1:14" s="90" customFormat="1" x14ac:dyDescent="0.3">
      <c r="A581" s="101"/>
      <c r="B581" s="101"/>
      <c r="C581" s="101"/>
      <c r="D581" s="101"/>
      <c r="E581" s="101"/>
      <c r="F581" s="101"/>
      <c r="G581" s="101"/>
      <c r="H581" s="101"/>
      <c r="I581" s="101"/>
      <c r="J581" s="93"/>
      <c r="K581" s="93"/>
      <c r="L581" s="121"/>
      <c r="M581" s="93"/>
      <c r="N581" s="93"/>
    </row>
    <row r="582" spans="1:14" s="90" customFormat="1" x14ac:dyDescent="0.3">
      <c r="A582" s="101"/>
      <c r="B582" s="101"/>
      <c r="C582" s="101"/>
      <c r="D582" s="101"/>
      <c r="E582" s="101"/>
      <c r="F582" s="101"/>
      <c r="G582" s="101"/>
      <c r="H582" s="101"/>
      <c r="I582" s="101"/>
      <c r="J582" s="93"/>
      <c r="K582" s="93"/>
      <c r="L582" s="121"/>
      <c r="M582" s="93"/>
      <c r="N582" s="93"/>
    </row>
    <row r="583" spans="1:14" s="90" customFormat="1" x14ac:dyDescent="0.3">
      <c r="A583" s="101"/>
      <c r="B583" s="101"/>
      <c r="C583" s="101"/>
      <c r="D583" s="101"/>
      <c r="E583" s="101"/>
      <c r="F583" s="101"/>
      <c r="G583" s="101"/>
      <c r="H583" s="101"/>
      <c r="I583" s="101"/>
      <c r="J583" s="93"/>
      <c r="K583" s="93"/>
      <c r="L583" s="121"/>
      <c r="M583" s="93"/>
      <c r="N583" s="93"/>
    </row>
    <row r="584" spans="1:14" s="90" customFormat="1" x14ac:dyDescent="0.3">
      <c r="A584" s="101"/>
      <c r="B584" s="101"/>
      <c r="C584" s="101"/>
      <c r="D584" s="101"/>
      <c r="E584" s="101"/>
      <c r="F584" s="101"/>
      <c r="G584" s="101"/>
      <c r="H584" s="101"/>
      <c r="I584" s="101"/>
      <c r="J584" s="93"/>
      <c r="K584" s="93"/>
      <c r="L584" s="121"/>
      <c r="M584" s="93"/>
      <c r="N584" s="93"/>
    </row>
    <row r="585" spans="1:14" x14ac:dyDescent="0.3">
      <c r="A585" s="122"/>
      <c r="B585" s="122"/>
      <c r="C585" s="122"/>
      <c r="D585" s="122"/>
      <c r="E585" s="122"/>
      <c r="F585" s="122"/>
      <c r="G585" s="122"/>
      <c r="H585" s="122"/>
      <c r="I585" s="122"/>
      <c r="J585" s="123"/>
      <c r="K585" s="123"/>
      <c r="L585" s="124"/>
      <c r="M585" s="123"/>
      <c r="N585" s="123"/>
    </row>
    <row r="586" spans="1:14" x14ac:dyDescent="0.3">
      <c r="A586" s="122"/>
      <c r="B586" s="122"/>
      <c r="C586" s="122"/>
      <c r="D586" s="122"/>
      <c r="E586" s="122"/>
      <c r="F586" s="122"/>
      <c r="G586" s="122"/>
      <c r="H586" s="122"/>
      <c r="I586" s="122"/>
      <c r="J586" s="123"/>
      <c r="K586" s="123"/>
      <c r="L586" s="124"/>
      <c r="M586" s="123"/>
      <c r="N586" s="123"/>
    </row>
    <row r="587" spans="1:14" x14ac:dyDescent="0.3">
      <c r="A587" s="122"/>
      <c r="B587" s="122"/>
      <c r="C587" s="122"/>
      <c r="D587" s="122"/>
      <c r="E587" s="122"/>
      <c r="F587" s="122"/>
      <c r="G587" s="122"/>
      <c r="H587" s="122"/>
      <c r="I587" s="122"/>
      <c r="J587" s="123"/>
      <c r="K587" s="123"/>
      <c r="L587" s="124"/>
      <c r="M587" s="123"/>
      <c r="N587" s="123"/>
    </row>
    <row r="588" spans="1:14" x14ac:dyDescent="0.3">
      <c r="A588" s="122"/>
      <c r="B588" s="122"/>
      <c r="C588" s="122"/>
      <c r="D588" s="122"/>
      <c r="E588" s="122"/>
      <c r="F588" s="122"/>
      <c r="G588" s="122"/>
      <c r="H588" s="122"/>
      <c r="I588" s="122"/>
      <c r="J588" s="123"/>
      <c r="K588" s="123"/>
      <c r="L588" s="124"/>
      <c r="M588" s="123"/>
      <c r="N588" s="123"/>
    </row>
    <row r="589" spans="1:14" x14ac:dyDescent="0.3">
      <c r="A589" s="122"/>
      <c r="B589" s="122"/>
      <c r="C589" s="122"/>
      <c r="D589" s="122"/>
      <c r="E589" s="122"/>
      <c r="F589" s="122"/>
      <c r="G589" s="122"/>
      <c r="H589" s="122"/>
      <c r="I589" s="122"/>
      <c r="J589" s="123"/>
      <c r="K589" s="123"/>
      <c r="L589" s="123"/>
      <c r="M589" s="123"/>
      <c r="N589" s="123"/>
    </row>
    <row r="590" spans="1:14" x14ac:dyDescent="0.3">
      <c r="A590" s="122"/>
      <c r="B590" s="122"/>
      <c r="C590" s="122"/>
      <c r="D590" s="122"/>
      <c r="E590" s="122"/>
      <c r="F590" s="122"/>
      <c r="G590" s="122"/>
      <c r="H590" s="122"/>
      <c r="I590" s="122"/>
    </row>
    <row r="591" spans="1:14" x14ac:dyDescent="0.3">
      <c r="A591" s="122"/>
      <c r="B591" s="122"/>
      <c r="C591" s="122"/>
      <c r="D591" s="122"/>
      <c r="E591" s="122"/>
      <c r="F591" s="122"/>
      <c r="G591" s="122"/>
      <c r="H591" s="122"/>
      <c r="I591" s="122"/>
    </row>
    <row r="592" spans="1:14" x14ac:dyDescent="0.3">
      <c r="A592" s="122"/>
      <c r="B592" s="122"/>
      <c r="C592" s="122"/>
      <c r="D592" s="122"/>
      <c r="E592" s="122"/>
      <c r="F592" s="122"/>
      <c r="G592" s="122"/>
      <c r="H592" s="122"/>
      <c r="I592" s="122"/>
    </row>
    <row r="593" spans="1:9" x14ac:dyDescent="0.3">
      <c r="A593" s="122"/>
      <c r="B593" s="122"/>
      <c r="C593" s="122"/>
      <c r="D593" s="122"/>
      <c r="E593" s="122"/>
      <c r="F593" s="122"/>
      <c r="G593" s="122"/>
      <c r="H593" s="122"/>
      <c r="I593" s="122"/>
    </row>
    <row r="594" spans="1:9" x14ac:dyDescent="0.3">
      <c r="A594" s="122"/>
      <c r="B594" s="122"/>
      <c r="C594" s="122"/>
      <c r="D594" s="122"/>
      <c r="E594" s="122"/>
      <c r="F594" s="122"/>
      <c r="G594" s="122"/>
      <c r="H594" s="122"/>
      <c r="I594" s="122"/>
    </row>
    <row r="595" spans="1:9" x14ac:dyDescent="0.3">
      <c r="A595" s="122"/>
      <c r="B595" s="122"/>
      <c r="C595" s="122"/>
      <c r="D595" s="122"/>
      <c r="E595" s="122"/>
      <c r="F595" s="122"/>
      <c r="G595" s="122"/>
      <c r="H595" s="122"/>
      <c r="I595" s="122"/>
    </row>
    <row r="596" spans="1:9" x14ac:dyDescent="0.3">
      <c r="A596" s="122"/>
      <c r="B596" s="122"/>
      <c r="C596" s="122"/>
      <c r="D596" s="122"/>
      <c r="E596" s="122"/>
      <c r="F596" s="122"/>
      <c r="G596" s="122"/>
      <c r="H596" s="122"/>
      <c r="I596" s="122"/>
    </row>
    <row r="597" spans="1:9" x14ac:dyDescent="0.3">
      <c r="A597" s="122"/>
      <c r="B597" s="122"/>
      <c r="C597" s="122"/>
      <c r="D597" s="122"/>
      <c r="E597" s="122"/>
      <c r="F597" s="122"/>
      <c r="G597" s="122"/>
      <c r="H597" s="122"/>
      <c r="I597" s="122"/>
    </row>
    <row r="598" spans="1:9" x14ac:dyDescent="0.3">
      <c r="A598" s="122"/>
      <c r="B598" s="122"/>
      <c r="C598" s="122"/>
      <c r="D598" s="122"/>
      <c r="E598" s="122"/>
      <c r="F598" s="122"/>
      <c r="G598" s="122"/>
      <c r="H598" s="122"/>
      <c r="I598" s="122"/>
    </row>
    <row r="599" spans="1:9" x14ac:dyDescent="0.3">
      <c r="A599" s="122"/>
      <c r="B599" s="122"/>
      <c r="C599" s="122"/>
      <c r="D599" s="122"/>
      <c r="E599" s="122"/>
      <c r="F599" s="122"/>
      <c r="G599" s="122"/>
      <c r="H599" s="122"/>
      <c r="I599" s="122"/>
    </row>
    <row r="600" spans="1:9" x14ac:dyDescent="0.3">
      <c r="A600" s="122"/>
      <c r="B600" s="122"/>
      <c r="C600" s="122"/>
      <c r="D600" s="122"/>
      <c r="E600" s="122"/>
      <c r="F600" s="122"/>
      <c r="G600" s="122"/>
      <c r="H600" s="122"/>
      <c r="I600" s="122"/>
    </row>
    <row r="601" spans="1:9" x14ac:dyDescent="0.3">
      <c r="A601" s="122"/>
      <c r="B601" s="122"/>
      <c r="C601" s="122"/>
      <c r="D601" s="122"/>
      <c r="E601" s="122"/>
      <c r="F601" s="122"/>
      <c r="G601" s="122"/>
      <c r="H601" s="122"/>
      <c r="I601" s="122"/>
    </row>
    <row r="602" spans="1:9" x14ac:dyDescent="0.3">
      <c r="A602" s="122"/>
      <c r="B602" s="122"/>
      <c r="C602" s="122"/>
      <c r="D602" s="122"/>
      <c r="E602" s="122"/>
      <c r="F602" s="122"/>
      <c r="G602" s="122"/>
      <c r="H602" s="122"/>
      <c r="I602" s="122"/>
    </row>
    <row r="603" spans="1:9" x14ac:dyDescent="0.3">
      <c r="A603" s="122"/>
      <c r="B603" s="122"/>
      <c r="C603" s="122"/>
      <c r="D603" s="122"/>
      <c r="E603" s="122"/>
      <c r="F603" s="122"/>
      <c r="G603" s="122"/>
      <c r="H603" s="122"/>
      <c r="I603" s="122"/>
    </row>
    <row r="604" spans="1:9" x14ac:dyDescent="0.3">
      <c r="A604" s="122"/>
      <c r="B604" s="122"/>
      <c r="C604" s="122"/>
      <c r="D604" s="122"/>
      <c r="E604" s="122"/>
      <c r="F604" s="122"/>
      <c r="G604" s="122"/>
      <c r="H604" s="122"/>
      <c r="I604" s="122"/>
    </row>
    <row r="605" spans="1:9" x14ac:dyDescent="0.3">
      <c r="A605" s="122"/>
      <c r="B605" s="122"/>
      <c r="C605" s="122"/>
      <c r="D605" s="122"/>
      <c r="E605" s="122"/>
      <c r="F605" s="122"/>
      <c r="G605" s="122"/>
      <c r="H605" s="122"/>
      <c r="I605" s="122"/>
    </row>
    <row r="606" spans="1:9" x14ac:dyDescent="0.3">
      <c r="A606" s="122"/>
      <c r="B606" s="122"/>
      <c r="C606" s="122"/>
      <c r="D606" s="122"/>
      <c r="E606" s="122"/>
      <c r="F606" s="122"/>
      <c r="G606" s="122"/>
      <c r="H606" s="122"/>
      <c r="I606" s="122"/>
    </row>
    <row r="607" spans="1:9" x14ac:dyDescent="0.3">
      <c r="A607" s="122"/>
      <c r="B607" s="122"/>
      <c r="C607" s="122"/>
      <c r="D607" s="122"/>
      <c r="E607" s="122"/>
      <c r="F607" s="122"/>
      <c r="G607" s="122"/>
      <c r="H607" s="122"/>
      <c r="I607" s="122"/>
    </row>
    <row r="608" spans="1:9" x14ac:dyDescent="0.3">
      <c r="A608" s="122"/>
      <c r="B608" s="122"/>
      <c r="C608" s="122"/>
      <c r="D608" s="122"/>
      <c r="E608" s="122"/>
      <c r="F608" s="122"/>
      <c r="G608" s="122"/>
      <c r="H608" s="122"/>
      <c r="I608" s="122"/>
    </row>
    <row r="609" spans="1:9" x14ac:dyDescent="0.3">
      <c r="A609" s="122"/>
      <c r="B609" s="122"/>
      <c r="C609" s="122"/>
      <c r="D609" s="122"/>
      <c r="E609" s="122"/>
      <c r="F609" s="122"/>
      <c r="G609" s="122"/>
      <c r="H609" s="122"/>
      <c r="I609" s="122"/>
    </row>
    <row r="610" spans="1:9" x14ac:dyDescent="0.3">
      <c r="A610" s="122"/>
      <c r="B610" s="122"/>
      <c r="C610" s="122"/>
      <c r="D610" s="122"/>
      <c r="E610" s="122"/>
      <c r="F610" s="122"/>
      <c r="G610" s="122"/>
      <c r="H610" s="122"/>
      <c r="I610" s="122"/>
    </row>
    <row r="611" spans="1:9" x14ac:dyDescent="0.3">
      <c r="A611" s="122"/>
      <c r="B611" s="122"/>
      <c r="C611" s="122"/>
      <c r="D611" s="122"/>
      <c r="E611" s="122"/>
      <c r="F611" s="122"/>
      <c r="G611" s="122"/>
      <c r="H611" s="122"/>
      <c r="I611" s="122"/>
    </row>
    <row r="612" spans="1:9" x14ac:dyDescent="0.3">
      <c r="A612" s="122"/>
      <c r="B612" s="122"/>
      <c r="C612" s="122"/>
      <c r="D612" s="122"/>
      <c r="E612" s="122"/>
      <c r="F612" s="122"/>
      <c r="G612" s="122"/>
      <c r="H612" s="122"/>
      <c r="I612" s="122"/>
    </row>
    <row r="613" spans="1:9" x14ac:dyDescent="0.3">
      <c r="A613" s="122"/>
      <c r="B613" s="122"/>
      <c r="C613" s="122"/>
      <c r="D613" s="122"/>
      <c r="E613" s="122"/>
      <c r="F613" s="122"/>
      <c r="G613" s="122"/>
      <c r="H613" s="122"/>
      <c r="I613" s="122"/>
    </row>
    <row r="614" spans="1:9" x14ac:dyDescent="0.3">
      <c r="A614" s="122"/>
      <c r="B614" s="122"/>
      <c r="C614" s="122"/>
      <c r="D614" s="122"/>
      <c r="E614" s="122"/>
      <c r="F614" s="122"/>
      <c r="G614" s="122"/>
      <c r="H614" s="122"/>
      <c r="I614" s="122"/>
    </row>
    <row r="615" spans="1:9" x14ac:dyDescent="0.3">
      <c r="A615" s="122"/>
      <c r="B615" s="122"/>
      <c r="C615" s="122"/>
      <c r="D615" s="122"/>
      <c r="E615" s="122"/>
      <c r="F615" s="122"/>
      <c r="G615" s="122"/>
      <c r="H615" s="122"/>
      <c r="I615" s="122"/>
    </row>
    <row r="616" spans="1:9" x14ac:dyDescent="0.3">
      <c r="A616" s="122"/>
      <c r="B616" s="122"/>
      <c r="C616" s="122"/>
      <c r="D616" s="122"/>
      <c r="E616" s="122"/>
      <c r="F616" s="122"/>
      <c r="G616" s="122"/>
      <c r="H616" s="122"/>
      <c r="I616" s="122"/>
    </row>
    <row r="617" spans="1:9" x14ac:dyDescent="0.3">
      <c r="A617" s="122"/>
      <c r="B617" s="122"/>
      <c r="C617" s="122"/>
      <c r="D617" s="122"/>
      <c r="E617" s="122"/>
      <c r="F617" s="122"/>
      <c r="G617" s="122"/>
      <c r="H617" s="122"/>
      <c r="I617" s="122"/>
    </row>
    <row r="618" spans="1:9" x14ac:dyDescent="0.3">
      <c r="A618" s="122"/>
      <c r="B618" s="122"/>
      <c r="C618" s="122"/>
      <c r="D618" s="122"/>
      <c r="E618" s="122"/>
      <c r="F618" s="122"/>
      <c r="G618" s="122"/>
      <c r="H618" s="122"/>
      <c r="I618" s="122"/>
    </row>
    <row r="619" spans="1:9" x14ac:dyDescent="0.3">
      <c r="A619" s="122"/>
      <c r="B619" s="122"/>
      <c r="C619" s="122"/>
      <c r="D619" s="122"/>
      <c r="E619" s="122"/>
      <c r="F619" s="122"/>
      <c r="G619" s="122"/>
      <c r="H619" s="122"/>
      <c r="I619" s="122"/>
    </row>
    <row r="620" spans="1:9" x14ac:dyDescent="0.3">
      <c r="A620" s="122"/>
      <c r="B620" s="122"/>
      <c r="C620" s="122"/>
      <c r="D620" s="122"/>
      <c r="E620" s="122"/>
      <c r="F620" s="122"/>
      <c r="G620" s="122"/>
      <c r="H620" s="122"/>
      <c r="I620" s="122"/>
    </row>
    <row r="621" spans="1:9" x14ac:dyDescent="0.3">
      <c r="A621" s="122"/>
      <c r="B621" s="122"/>
      <c r="C621" s="122"/>
      <c r="D621" s="122"/>
      <c r="E621" s="122"/>
      <c r="F621" s="122"/>
      <c r="G621" s="122"/>
      <c r="H621" s="122"/>
      <c r="I621" s="122"/>
    </row>
    <row r="622" spans="1:9" x14ac:dyDescent="0.3">
      <c r="A622" s="122"/>
      <c r="B622" s="122"/>
      <c r="C622" s="122"/>
      <c r="D622" s="122"/>
      <c r="E622" s="122"/>
      <c r="F622" s="122"/>
      <c r="G622" s="122"/>
      <c r="H622" s="122"/>
      <c r="I622" s="122"/>
    </row>
    <row r="623" spans="1:9" x14ac:dyDescent="0.3">
      <c r="A623" s="122"/>
      <c r="B623" s="122"/>
      <c r="C623" s="122"/>
      <c r="D623" s="122"/>
      <c r="E623" s="122"/>
      <c r="F623" s="122"/>
      <c r="G623" s="122"/>
      <c r="H623" s="122"/>
      <c r="I623" s="122"/>
    </row>
    <row r="624" spans="1:9" x14ac:dyDescent="0.3">
      <c r="A624" s="122"/>
      <c r="B624" s="122"/>
      <c r="C624" s="122"/>
      <c r="D624" s="122"/>
      <c r="E624" s="122"/>
      <c r="F624" s="122"/>
      <c r="G624" s="122"/>
      <c r="H624" s="122"/>
      <c r="I624" s="122"/>
    </row>
    <row r="625" spans="1:9" x14ac:dyDescent="0.3">
      <c r="A625" s="122"/>
      <c r="B625" s="122"/>
      <c r="C625" s="122"/>
      <c r="D625" s="122"/>
      <c r="E625" s="122"/>
      <c r="F625" s="122"/>
      <c r="G625" s="122"/>
      <c r="H625" s="122"/>
      <c r="I625" s="122"/>
    </row>
    <row r="626" spans="1:9" x14ac:dyDescent="0.3">
      <c r="A626" s="122"/>
      <c r="B626" s="122"/>
      <c r="C626" s="122"/>
      <c r="D626" s="122"/>
      <c r="E626" s="122"/>
      <c r="F626" s="122"/>
      <c r="G626" s="122"/>
      <c r="H626" s="122"/>
      <c r="I626" s="122"/>
    </row>
    <row r="627" spans="1:9" x14ac:dyDescent="0.3">
      <c r="A627" s="122"/>
      <c r="B627" s="122"/>
      <c r="C627" s="122"/>
      <c r="D627" s="122"/>
      <c r="E627" s="122"/>
      <c r="F627" s="122"/>
      <c r="G627" s="122"/>
      <c r="H627" s="122"/>
      <c r="I627" s="122"/>
    </row>
    <row r="628" spans="1:9" x14ac:dyDescent="0.3">
      <c r="A628" s="122"/>
      <c r="B628" s="122"/>
      <c r="C628" s="122"/>
      <c r="D628" s="122"/>
      <c r="E628" s="122"/>
      <c r="F628" s="122"/>
      <c r="G628" s="122"/>
      <c r="H628" s="122"/>
      <c r="I628" s="122"/>
    </row>
    <row r="629" spans="1:9" x14ac:dyDescent="0.3">
      <c r="A629" s="122"/>
      <c r="B629" s="122"/>
      <c r="C629" s="122"/>
      <c r="D629" s="122"/>
      <c r="E629" s="122"/>
      <c r="F629" s="122"/>
      <c r="G629" s="122"/>
      <c r="H629" s="122"/>
      <c r="I629" s="122"/>
    </row>
    <row r="630" spans="1:9" x14ac:dyDescent="0.3">
      <c r="A630" s="122"/>
      <c r="B630" s="122"/>
      <c r="C630" s="122"/>
      <c r="D630" s="122"/>
      <c r="E630" s="122"/>
      <c r="F630" s="122"/>
      <c r="G630" s="122"/>
      <c r="H630" s="122"/>
      <c r="I630" s="122"/>
    </row>
    <row r="631" spans="1:9" x14ac:dyDescent="0.3">
      <c r="A631" s="122"/>
      <c r="B631" s="122"/>
      <c r="C631" s="122"/>
      <c r="D631" s="122"/>
      <c r="E631" s="122"/>
      <c r="F631" s="122"/>
      <c r="G631" s="122"/>
      <c r="H631" s="122"/>
      <c r="I631" s="122"/>
    </row>
    <row r="632" spans="1:9" x14ac:dyDescent="0.3">
      <c r="A632" s="122"/>
      <c r="B632" s="122"/>
      <c r="C632" s="122"/>
      <c r="D632" s="122"/>
      <c r="E632" s="122"/>
      <c r="F632" s="122"/>
      <c r="G632" s="122"/>
      <c r="H632" s="122"/>
      <c r="I632" s="122"/>
    </row>
    <row r="633" spans="1:9" x14ac:dyDescent="0.3">
      <c r="A633" s="122"/>
      <c r="B633" s="122"/>
      <c r="C633" s="122"/>
      <c r="D633" s="122"/>
      <c r="E633" s="122"/>
      <c r="F633" s="122"/>
      <c r="G633" s="122"/>
      <c r="H633" s="122"/>
      <c r="I633" s="122"/>
    </row>
    <row r="634" spans="1:9" x14ac:dyDescent="0.3">
      <c r="A634" s="122"/>
      <c r="B634" s="122"/>
      <c r="C634" s="122"/>
      <c r="D634" s="122"/>
      <c r="E634" s="122"/>
      <c r="F634" s="122"/>
      <c r="G634" s="122"/>
      <c r="H634" s="122"/>
      <c r="I634" s="122"/>
    </row>
    <row r="635" spans="1:9" x14ac:dyDescent="0.3">
      <c r="A635" s="122"/>
      <c r="B635" s="122"/>
      <c r="C635" s="122"/>
      <c r="D635" s="122"/>
      <c r="E635" s="122"/>
      <c r="F635" s="122"/>
      <c r="G635" s="122"/>
      <c r="H635" s="122"/>
      <c r="I635" s="122"/>
    </row>
    <row r="636" spans="1:9" x14ac:dyDescent="0.3">
      <c r="A636" s="122"/>
      <c r="B636" s="122"/>
      <c r="C636" s="122"/>
      <c r="D636" s="122"/>
      <c r="E636" s="122"/>
      <c r="F636" s="122"/>
      <c r="G636" s="122"/>
      <c r="H636" s="122"/>
      <c r="I636" s="122"/>
    </row>
    <row r="637" spans="1:9" x14ac:dyDescent="0.3">
      <c r="A637" s="122"/>
      <c r="B637" s="122"/>
      <c r="C637" s="122"/>
      <c r="D637" s="122"/>
      <c r="E637" s="122"/>
      <c r="F637" s="122"/>
      <c r="G637" s="122"/>
      <c r="H637" s="122"/>
      <c r="I637" s="122"/>
    </row>
    <row r="638" spans="1:9" x14ac:dyDescent="0.3">
      <c r="A638" s="122"/>
      <c r="B638" s="122"/>
      <c r="C638" s="122"/>
      <c r="D638" s="122"/>
      <c r="E638" s="122"/>
      <c r="F638" s="122"/>
      <c r="G638" s="122"/>
      <c r="H638" s="122"/>
      <c r="I638" s="122"/>
    </row>
    <row r="639" spans="1:9" x14ac:dyDescent="0.3">
      <c r="A639" s="122"/>
      <c r="B639" s="122"/>
      <c r="C639" s="122"/>
      <c r="D639" s="122"/>
      <c r="E639" s="122"/>
      <c r="F639" s="122"/>
      <c r="G639" s="122"/>
      <c r="H639" s="122"/>
      <c r="I639" s="122"/>
    </row>
    <row r="640" spans="1:9" x14ac:dyDescent="0.3">
      <c r="A640" s="122"/>
      <c r="B640" s="122"/>
      <c r="C640" s="122"/>
      <c r="D640" s="122"/>
      <c r="E640" s="122"/>
      <c r="F640" s="122"/>
      <c r="G640" s="122"/>
      <c r="H640" s="122"/>
      <c r="I640" s="122"/>
    </row>
    <row r="641" spans="1:9" x14ac:dyDescent="0.3">
      <c r="A641" s="122"/>
      <c r="B641" s="122"/>
      <c r="C641" s="122"/>
      <c r="D641" s="122"/>
      <c r="E641" s="122"/>
      <c r="F641" s="122"/>
      <c r="G641" s="122"/>
      <c r="H641" s="122"/>
      <c r="I641" s="122"/>
    </row>
    <row r="642" spans="1:9" x14ac:dyDescent="0.3">
      <c r="A642" s="122"/>
      <c r="B642" s="122"/>
      <c r="C642" s="122"/>
      <c r="D642" s="122"/>
      <c r="E642" s="122"/>
      <c r="F642" s="122"/>
      <c r="G642" s="122"/>
      <c r="H642" s="122"/>
      <c r="I642" s="122"/>
    </row>
    <row r="643" spans="1:9" x14ac:dyDescent="0.3">
      <c r="A643" s="122"/>
      <c r="B643" s="122"/>
      <c r="C643" s="122"/>
      <c r="D643" s="122"/>
      <c r="E643" s="122"/>
      <c r="F643" s="122"/>
      <c r="G643" s="122"/>
      <c r="H643" s="122"/>
      <c r="I643" s="122"/>
    </row>
    <row r="644" spans="1:9" x14ac:dyDescent="0.3">
      <c r="A644" s="122"/>
      <c r="B644" s="122"/>
      <c r="C644" s="122"/>
      <c r="D644" s="122"/>
      <c r="E644" s="122"/>
      <c r="F644" s="122"/>
      <c r="G644" s="122"/>
      <c r="H644" s="122"/>
      <c r="I644" s="122"/>
    </row>
    <row r="645" spans="1:9" x14ac:dyDescent="0.3">
      <c r="A645" s="122"/>
      <c r="B645" s="122"/>
      <c r="C645" s="122"/>
      <c r="D645" s="122"/>
      <c r="E645" s="122"/>
      <c r="F645" s="122"/>
      <c r="G645" s="122"/>
      <c r="H645" s="122"/>
      <c r="I645" s="122"/>
    </row>
    <row r="646" spans="1:9" x14ac:dyDescent="0.3">
      <c r="A646" s="122"/>
      <c r="B646" s="122"/>
      <c r="C646" s="122"/>
      <c r="D646" s="122"/>
      <c r="E646" s="122"/>
      <c r="F646" s="122"/>
      <c r="G646" s="122"/>
      <c r="H646" s="122"/>
      <c r="I646" s="122"/>
    </row>
    <row r="647" spans="1:9" x14ac:dyDescent="0.3">
      <c r="A647" s="122"/>
      <c r="B647" s="122"/>
      <c r="C647" s="122"/>
      <c r="D647" s="122"/>
      <c r="E647" s="122"/>
      <c r="F647" s="122"/>
      <c r="G647" s="122"/>
      <c r="H647" s="122"/>
      <c r="I647" s="122"/>
    </row>
    <row r="648" spans="1:9" x14ac:dyDescent="0.3">
      <c r="A648" s="122"/>
      <c r="B648" s="122"/>
      <c r="C648" s="122"/>
      <c r="D648" s="122"/>
      <c r="E648" s="122"/>
      <c r="F648" s="122"/>
      <c r="G648" s="122"/>
      <c r="H648" s="122"/>
      <c r="I648" s="122"/>
    </row>
    <row r="649" spans="1:9" x14ac:dyDescent="0.3">
      <c r="A649" s="122"/>
      <c r="B649" s="122"/>
      <c r="C649" s="122"/>
      <c r="D649" s="122"/>
      <c r="E649" s="122"/>
      <c r="F649" s="122"/>
      <c r="G649" s="122"/>
      <c r="H649" s="122"/>
      <c r="I649" s="122"/>
    </row>
    <row r="650" spans="1:9" x14ac:dyDescent="0.3">
      <c r="A650" s="122"/>
      <c r="B650" s="122"/>
      <c r="C650" s="122"/>
      <c r="D650" s="122"/>
      <c r="E650" s="122"/>
      <c r="F650" s="122"/>
      <c r="G650" s="122"/>
      <c r="H650" s="122"/>
      <c r="I650" s="122"/>
    </row>
    <row r="651" spans="1:9" x14ac:dyDescent="0.3">
      <c r="A651" s="122"/>
      <c r="B651" s="122"/>
      <c r="C651" s="122"/>
      <c r="D651" s="122"/>
      <c r="E651" s="122"/>
      <c r="F651" s="122"/>
      <c r="G651" s="122"/>
      <c r="H651" s="122"/>
      <c r="I651" s="122"/>
    </row>
    <row r="652" spans="1:9" x14ac:dyDescent="0.3">
      <c r="A652" s="122"/>
      <c r="B652" s="122"/>
      <c r="C652" s="122"/>
      <c r="D652" s="122"/>
      <c r="E652" s="122"/>
      <c r="F652" s="122"/>
      <c r="G652" s="122"/>
      <c r="H652" s="122"/>
      <c r="I652" s="122"/>
    </row>
    <row r="653" spans="1:9" x14ac:dyDescent="0.3">
      <c r="A653" s="122"/>
      <c r="B653" s="122"/>
      <c r="C653" s="122"/>
      <c r="D653" s="122"/>
      <c r="E653" s="122"/>
      <c r="F653" s="122"/>
      <c r="G653" s="122"/>
      <c r="H653" s="122"/>
      <c r="I653" s="122"/>
    </row>
    <row r="654" spans="1:9" x14ac:dyDescent="0.3">
      <c r="A654" s="122"/>
      <c r="B654" s="122"/>
      <c r="C654" s="122"/>
      <c r="D654" s="122"/>
      <c r="E654" s="122"/>
      <c r="F654" s="122"/>
      <c r="G654" s="122"/>
      <c r="H654" s="122"/>
      <c r="I654" s="122"/>
    </row>
    <row r="655" spans="1:9" x14ac:dyDescent="0.3">
      <c r="A655" s="122"/>
      <c r="B655" s="122"/>
      <c r="C655" s="122"/>
      <c r="D655" s="122"/>
      <c r="E655" s="122"/>
      <c r="F655" s="122"/>
      <c r="G655" s="122"/>
      <c r="H655" s="122"/>
      <c r="I655" s="122"/>
    </row>
    <row r="656" spans="1:9" x14ac:dyDescent="0.3">
      <c r="A656" s="122"/>
      <c r="B656" s="122"/>
      <c r="C656" s="122"/>
      <c r="D656" s="122"/>
      <c r="E656" s="122"/>
      <c r="F656" s="122"/>
      <c r="G656" s="122"/>
      <c r="H656" s="122"/>
      <c r="I656" s="122"/>
    </row>
    <row r="657" spans="1:9" x14ac:dyDescent="0.3">
      <c r="A657" s="122"/>
      <c r="B657" s="122"/>
      <c r="C657" s="122"/>
      <c r="D657" s="122"/>
      <c r="E657" s="122"/>
      <c r="F657" s="122"/>
      <c r="G657" s="122"/>
      <c r="H657" s="122"/>
      <c r="I657" s="122"/>
    </row>
    <row r="658" spans="1:9" x14ac:dyDescent="0.3">
      <c r="A658" s="122"/>
      <c r="B658" s="122"/>
      <c r="C658" s="122"/>
      <c r="D658" s="122"/>
      <c r="E658" s="122"/>
      <c r="F658" s="122"/>
      <c r="G658" s="122"/>
      <c r="H658" s="122"/>
      <c r="I658" s="122"/>
    </row>
    <row r="659" spans="1:9" x14ac:dyDescent="0.3">
      <c r="A659" s="122"/>
      <c r="B659" s="122"/>
      <c r="C659" s="122"/>
      <c r="D659" s="122"/>
      <c r="E659" s="122"/>
      <c r="F659" s="122"/>
      <c r="G659" s="122"/>
      <c r="H659" s="122"/>
      <c r="I659" s="122"/>
    </row>
    <row r="660" spans="1:9" x14ac:dyDescent="0.3">
      <c r="A660" s="122"/>
      <c r="B660" s="122"/>
      <c r="C660" s="122"/>
      <c r="D660" s="122"/>
      <c r="E660" s="122"/>
      <c r="F660" s="122"/>
      <c r="G660" s="122"/>
      <c r="H660" s="122"/>
      <c r="I660" s="122"/>
    </row>
    <row r="661" spans="1:9" x14ac:dyDescent="0.3">
      <c r="A661" s="122"/>
      <c r="B661" s="122"/>
      <c r="C661" s="122"/>
      <c r="D661" s="122"/>
      <c r="E661" s="122"/>
      <c r="F661" s="122"/>
      <c r="G661" s="122"/>
      <c r="H661" s="122"/>
      <c r="I661" s="122"/>
    </row>
    <row r="662" spans="1:9" x14ac:dyDescent="0.3">
      <c r="A662" s="122"/>
      <c r="B662" s="122"/>
      <c r="C662" s="122"/>
      <c r="D662" s="122"/>
      <c r="E662" s="122"/>
      <c r="F662" s="122"/>
      <c r="G662" s="122"/>
      <c r="H662" s="122"/>
      <c r="I662" s="122"/>
    </row>
    <row r="663" spans="1:9" x14ac:dyDescent="0.3">
      <c r="A663" s="122"/>
      <c r="B663" s="122"/>
      <c r="C663" s="122"/>
      <c r="D663" s="122"/>
      <c r="E663" s="122"/>
      <c r="F663" s="122"/>
      <c r="G663" s="122"/>
      <c r="H663" s="122"/>
      <c r="I663" s="122"/>
    </row>
    <row r="664" spans="1:9" x14ac:dyDescent="0.3">
      <c r="A664" s="122"/>
      <c r="B664" s="122"/>
      <c r="C664" s="122"/>
      <c r="D664" s="122"/>
      <c r="E664" s="122"/>
      <c r="F664" s="122"/>
      <c r="G664" s="122"/>
      <c r="H664" s="122"/>
      <c r="I664" s="122"/>
    </row>
    <row r="665" spans="1:9" x14ac:dyDescent="0.3">
      <c r="A665" s="122"/>
      <c r="B665" s="122"/>
      <c r="C665" s="122"/>
      <c r="D665" s="122"/>
      <c r="E665" s="122"/>
      <c r="F665" s="122"/>
      <c r="G665" s="122"/>
      <c r="H665" s="122"/>
      <c r="I665" s="122"/>
    </row>
    <row r="666" spans="1:9" x14ac:dyDescent="0.3">
      <c r="A666" s="122"/>
      <c r="B666" s="122"/>
      <c r="C666" s="122"/>
      <c r="D666" s="122"/>
      <c r="E666" s="122"/>
      <c r="F666" s="122"/>
      <c r="G666" s="122"/>
      <c r="H666" s="122"/>
      <c r="I666" s="122"/>
    </row>
    <row r="667" spans="1:9" x14ac:dyDescent="0.3">
      <c r="A667" s="122"/>
      <c r="B667" s="122"/>
      <c r="C667" s="122"/>
      <c r="D667" s="122"/>
      <c r="E667" s="122"/>
      <c r="F667" s="122"/>
      <c r="G667" s="122"/>
      <c r="H667" s="122"/>
      <c r="I667" s="122"/>
    </row>
    <row r="668" spans="1:9" x14ac:dyDescent="0.3">
      <c r="A668" s="122"/>
      <c r="B668" s="122"/>
      <c r="C668" s="122"/>
      <c r="D668" s="122"/>
      <c r="E668" s="122"/>
      <c r="F668" s="122"/>
      <c r="G668" s="122"/>
      <c r="H668" s="122"/>
      <c r="I668" s="122"/>
    </row>
    <row r="669" spans="1:9" x14ac:dyDescent="0.3">
      <c r="A669" s="122"/>
      <c r="B669" s="122"/>
      <c r="C669" s="122"/>
      <c r="D669" s="122"/>
      <c r="E669" s="122"/>
      <c r="F669" s="122"/>
      <c r="G669" s="122"/>
      <c r="H669" s="122"/>
      <c r="I669" s="122"/>
    </row>
    <row r="670" spans="1:9" x14ac:dyDescent="0.3">
      <c r="A670" s="122"/>
      <c r="B670" s="122"/>
      <c r="C670" s="122"/>
      <c r="D670" s="122"/>
      <c r="E670" s="122"/>
      <c r="F670" s="122"/>
      <c r="G670" s="122"/>
      <c r="H670" s="122"/>
      <c r="I670" s="122"/>
    </row>
    <row r="671" spans="1:9" x14ac:dyDescent="0.3">
      <c r="A671" s="122"/>
      <c r="B671" s="122"/>
      <c r="C671" s="122"/>
      <c r="D671" s="122"/>
      <c r="E671" s="122"/>
      <c r="F671" s="122"/>
      <c r="G671" s="122"/>
      <c r="H671" s="122"/>
      <c r="I671" s="122"/>
    </row>
    <row r="672" spans="1:9" x14ac:dyDescent="0.3">
      <c r="A672" s="122"/>
      <c r="B672" s="122"/>
      <c r="C672" s="122"/>
      <c r="D672" s="122"/>
      <c r="E672" s="122"/>
      <c r="F672" s="122"/>
      <c r="G672" s="122"/>
      <c r="H672" s="122"/>
      <c r="I672" s="122"/>
    </row>
    <row r="673" spans="1:9" x14ac:dyDescent="0.3">
      <c r="A673" s="122"/>
      <c r="B673" s="122"/>
      <c r="C673" s="122"/>
      <c r="D673" s="122"/>
      <c r="E673" s="122"/>
      <c r="F673" s="122"/>
      <c r="G673" s="122"/>
      <c r="H673" s="122"/>
      <c r="I673" s="122"/>
    </row>
    <row r="674" spans="1:9" x14ac:dyDescent="0.3">
      <c r="A674" s="122"/>
      <c r="B674" s="122"/>
      <c r="C674" s="122"/>
      <c r="D674" s="122"/>
      <c r="E674" s="122"/>
      <c r="F674" s="122"/>
      <c r="G674" s="122"/>
      <c r="H674" s="122"/>
      <c r="I674" s="122"/>
    </row>
    <row r="675" spans="1:9" x14ac:dyDescent="0.3">
      <c r="A675" s="122"/>
      <c r="B675" s="122"/>
      <c r="C675" s="122"/>
      <c r="D675" s="122"/>
      <c r="E675" s="122"/>
      <c r="F675" s="122"/>
      <c r="G675" s="122"/>
      <c r="H675" s="122"/>
      <c r="I675" s="122"/>
    </row>
    <row r="676" spans="1:9" x14ac:dyDescent="0.3">
      <c r="A676" s="122"/>
      <c r="B676" s="122"/>
      <c r="C676" s="122"/>
      <c r="D676" s="122"/>
      <c r="E676" s="122"/>
      <c r="F676" s="122"/>
      <c r="G676" s="122"/>
      <c r="H676" s="122"/>
      <c r="I676" s="122"/>
    </row>
    <row r="677" spans="1:9" x14ac:dyDescent="0.3">
      <c r="A677" s="122"/>
      <c r="B677" s="122"/>
      <c r="C677" s="122"/>
      <c r="D677" s="122"/>
      <c r="E677" s="122"/>
      <c r="F677" s="122"/>
      <c r="G677" s="122"/>
      <c r="H677" s="122"/>
      <c r="I677" s="122"/>
    </row>
    <row r="678" spans="1:9" x14ac:dyDescent="0.3">
      <c r="A678" s="122"/>
      <c r="B678" s="122"/>
      <c r="C678" s="122"/>
      <c r="D678" s="122"/>
      <c r="E678" s="122"/>
      <c r="F678" s="122"/>
      <c r="G678" s="122"/>
      <c r="H678" s="122"/>
      <c r="I678" s="122"/>
    </row>
    <row r="679" spans="1:9" x14ac:dyDescent="0.3">
      <c r="A679" s="122"/>
      <c r="B679" s="122"/>
      <c r="C679" s="122"/>
      <c r="D679" s="122"/>
      <c r="E679" s="122"/>
      <c r="F679" s="122"/>
      <c r="G679" s="122"/>
      <c r="H679" s="122"/>
      <c r="I679" s="122"/>
    </row>
    <row r="680" spans="1:9" x14ac:dyDescent="0.3">
      <c r="A680" s="122"/>
      <c r="B680" s="122"/>
      <c r="C680" s="122"/>
      <c r="D680" s="122"/>
      <c r="E680" s="122"/>
      <c r="F680" s="122"/>
      <c r="G680" s="122"/>
      <c r="H680" s="122"/>
      <c r="I680" s="122"/>
    </row>
    <row r="681" spans="1:9" x14ac:dyDescent="0.3">
      <c r="A681" s="122"/>
      <c r="B681" s="122"/>
      <c r="C681" s="122"/>
      <c r="D681" s="122"/>
      <c r="E681" s="122"/>
      <c r="F681" s="122"/>
      <c r="G681" s="122"/>
      <c r="H681" s="122"/>
      <c r="I681" s="122"/>
    </row>
    <row r="682" spans="1:9" x14ac:dyDescent="0.3">
      <c r="A682" s="122"/>
      <c r="B682" s="122"/>
      <c r="C682" s="122"/>
      <c r="D682" s="122"/>
      <c r="E682" s="122"/>
      <c r="F682" s="122"/>
      <c r="G682" s="122"/>
      <c r="H682" s="122"/>
      <c r="I682" s="122"/>
    </row>
    <row r="683" spans="1:9" x14ac:dyDescent="0.3">
      <c r="A683" s="122"/>
      <c r="B683" s="122"/>
      <c r="C683" s="122"/>
      <c r="D683" s="122"/>
      <c r="E683" s="122"/>
      <c r="F683" s="122"/>
      <c r="G683" s="122"/>
      <c r="H683" s="122"/>
      <c r="I683" s="122"/>
    </row>
    <row r="684" spans="1:9" x14ac:dyDescent="0.3">
      <c r="A684" s="122"/>
      <c r="B684" s="122"/>
      <c r="C684" s="122"/>
      <c r="D684" s="122"/>
      <c r="E684" s="122"/>
      <c r="F684" s="122"/>
      <c r="G684" s="122"/>
      <c r="H684" s="122"/>
      <c r="I684" s="122"/>
    </row>
    <row r="685" spans="1:9" x14ac:dyDescent="0.3">
      <c r="A685" s="122"/>
      <c r="B685" s="122"/>
      <c r="C685" s="122"/>
      <c r="D685" s="122"/>
      <c r="E685" s="122"/>
      <c r="F685" s="122"/>
      <c r="G685" s="122"/>
      <c r="H685" s="122"/>
      <c r="I685" s="122"/>
    </row>
    <row r="686" spans="1:9" x14ac:dyDescent="0.3">
      <c r="A686" s="122"/>
      <c r="B686" s="122"/>
      <c r="C686" s="122"/>
      <c r="D686" s="122"/>
      <c r="E686" s="122"/>
      <c r="F686" s="122"/>
      <c r="G686" s="122"/>
      <c r="H686" s="122"/>
      <c r="I686" s="122"/>
    </row>
    <row r="687" spans="1:9" x14ac:dyDescent="0.3">
      <c r="A687" s="122"/>
      <c r="B687" s="122"/>
      <c r="C687" s="122"/>
      <c r="D687" s="122"/>
      <c r="E687" s="122"/>
      <c r="F687" s="122"/>
      <c r="G687" s="122"/>
      <c r="H687" s="122"/>
      <c r="I687" s="122"/>
    </row>
    <row r="688" spans="1:9" x14ac:dyDescent="0.3">
      <c r="A688" s="122"/>
      <c r="B688" s="122"/>
      <c r="C688" s="122"/>
      <c r="D688" s="122"/>
      <c r="E688" s="122"/>
      <c r="F688" s="122"/>
      <c r="G688" s="122"/>
      <c r="H688" s="122"/>
      <c r="I688" s="122"/>
    </row>
    <row r="689" spans="1:9" x14ac:dyDescent="0.3">
      <c r="A689" s="122"/>
      <c r="B689" s="122"/>
      <c r="C689" s="122"/>
      <c r="D689" s="122"/>
      <c r="E689" s="122"/>
      <c r="F689" s="122"/>
      <c r="G689" s="122"/>
      <c r="H689" s="122"/>
      <c r="I689" s="122"/>
    </row>
    <row r="690" spans="1:9" x14ac:dyDescent="0.3">
      <c r="A690" s="122"/>
      <c r="B690" s="122"/>
      <c r="C690" s="122"/>
      <c r="D690" s="122"/>
      <c r="E690" s="122"/>
      <c r="F690" s="122"/>
      <c r="G690" s="122"/>
      <c r="H690" s="122"/>
      <c r="I690" s="122"/>
    </row>
    <row r="691" spans="1:9" x14ac:dyDescent="0.3">
      <c r="A691" s="122"/>
      <c r="B691" s="122"/>
      <c r="C691" s="122"/>
      <c r="D691" s="122"/>
      <c r="E691" s="122"/>
      <c r="F691" s="122"/>
      <c r="G691" s="122"/>
      <c r="H691" s="122"/>
      <c r="I691" s="122"/>
    </row>
    <row r="692" spans="1:9" x14ac:dyDescent="0.3">
      <c r="A692" s="122"/>
      <c r="B692" s="122"/>
      <c r="C692" s="122"/>
      <c r="D692" s="122"/>
      <c r="E692" s="122"/>
      <c r="F692" s="122"/>
      <c r="G692" s="122"/>
      <c r="H692" s="122"/>
      <c r="I692" s="122"/>
    </row>
    <row r="693" spans="1:9" x14ac:dyDescent="0.3">
      <c r="A693" s="122"/>
      <c r="B693" s="122"/>
      <c r="C693" s="122"/>
      <c r="D693" s="122"/>
      <c r="E693" s="122"/>
      <c r="F693" s="122"/>
      <c r="G693" s="122"/>
      <c r="H693" s="122"/>
      <c r="I693" s="122"/>
    </row>
    <row r="694" spans="1:9" x14ac:dyDescent="0.3">
      <c r="A694" s="122"/>
      <c r="B694" s="122"/>
      <c r="C694" s="122"/>
      <c r="D694" s="122"/>
      <c r="E694" s="122"/>
      <c r="F694" s="122"/>
      <c r="G694" s="122"/>
      <c r="H694" s="122"/>
      <c r="I694" s="122"/>
    </row>
    <row r="695" spans="1:9" x14ac:dyDescent="0.3">
      <c r="A695" s="122"/>
      <c r="B695" s="122"/>
      <c r="C695" s="122"/>
      <c r="D695" s="122"/>
      <c r="E695" s="122"/>
      <c r="F695" s="122"/>
      <c r="G695" s="122"/>
      <c r="H695" s="122"/>
      <c r="I695" s="122"/>
    </row>
    <row r="696" spans="1:9" x14ac:dyDescent="0.3">
      <c r="A696" s="122"/>
      <c r="B696" s="122"/>
      <c r="C696" s="122"/>
      <c r="D696" s="122"/>
      <c r="E696" s="122"/>
      <c r="F696" s="122"/>
      <c r="G696" s="122"/>
      <c r="H696" s="122"/>
      <c r="I696" s="122"/>
    </row>
    <row r="697" spans="1:9" x14ac:dyDescent="0.3">
      <c r="A697" s="122"/>
      <c r="B697" s="122"/>
      <c r="C697" s="122"/>
      <c r="D697" s="122"/>
      <c r="E697" s="122"/>
      <c r="F697" s="122"/>
      <c r="G697" s="122"/>
      <c r="H697" s="122"/>
      <c r="I697" s="122"/>
    </row>
    <row r="698" spans="1:9" x14ac:dyDescent="0.3">
      <c r="A698" s="122"/>
      <c r="B698" s="122"/>
      <c r="C698" s="122"/>
      <c r="D698" s="122"/>
      <c r="E698" s="122"/>
      <c r="F698" s="122"/>
      <c r="G698" s="122"/>
      <c r="H698" s="122"/>
      <c r="I698" s="122"/>
    </row>
    <row r="699" spans="1:9" x14ac:dyDescent="0.3">
      <c r="A699" s="122"/>
      <c r="B699" s="122"/>
      <c r="C699" s="122"/>
      <c r="D699" s="122"/>
      <c r="E699" s="122"/>
      <c r="F699" s="122"/>
      <c r="G699" s="122"/>
      <c r="H699" s="122"/>
      <c r="I699" s="122"/>
    </row>
    <row r="700" spans="1:9" x14ac:dyDescent="0.3">
      <c r="A700" s="122"/>
      <c r="B700" s="122"/>
      <c r="C700" s="122"/>
      <c r="D700" s="122"/>
      <c r="E700" s="122"/>
      <c r="F700" s="122"/>
      <c r="G700" s="122"/>
      <c r="H700" s="122"/>
      <c r="I700" s="122"/>
    </row>
    <row r="701" spans="1:9" x14ac:dyDescent="0.3">
      <c r="A701" s="122"/>
      <c r="B701" s="122"/>
      <c r="C701" s="122"/>
      <c r="D701" s="122"/>
      <c r="E701" s="122"/>
      <c r="F701" s="122"/>
      <c r="G701" s="122"/>
      <c r="H701" s="122"/>
      <c r="I701" s="122"/>
    </row>
    <row r="702" spans="1:9" x14ac:dyDescent="0.3">
      <c r="A702" s="122"/>
      <c r="B702" s="122"/>
      <c r="C702" s="122"/>
      <c r="D702" s="122"/>
      <c r="E702" s="122"/>
      <c r="F702" s="122"/>
      <c r="G702" s="122"/>
      <c r="H702" s="122"/>
      <c r="I702" s="122"/>
    </row>
    <row r="703" spans="1:9" x14ac:dyDescent="0.3">
      <c r="A703" s="122"/>
      <c r="B703" s="122"/>
      <c r="C703" s="122"/>
      <c r="D703" s="122"/>
      <c r="E703" s="122"/>
      <c r="F703" s="122"/>
      <c r="G703" s="122"/>
      <c r="H703" s="122"/>
      <c r="I703" s="122"/>
    </row>
    <row r="704" spans="1:9" x14ac:dyDescent="0.3">
      <c r="A704" s="122"/>
      <c r="B704" s="122"/>
      <c r="C704" s="122"/>
      <c r="D704" s="122"/>
      <c r="E704" s="122"/>
      <c r="F704" s="122"/>
      <c r="G704" s="122"/>
      <c r="H704" s="122"/>
      <c r="I704" s="122"/>
    </row>
    <row r="705" spans="1:9" x14ac:dyDescent="0.3">
      <c r="A705" s="125"/>
      <c r="B705" s="125"/>
      <c r="C705" s="125"/>
      <c r="D705" s="125"/>
      <c r="E705" s="126"/>
      <c r="F705" s="126"/>
      <c r="G705" s="127"/>
      <c r="H705" s="127"/>
      <c r="I705" s="127"/>
    </row>
    <row r="706" spans="1:9" x14ac:dyDescent="0.3">
      <c r="A706" s="125"/>
      <c r="B706" s="125"/>
      <c r="C706" s="125"/>
      <c r="D706" s="125"/>
      <c r="E706" s="126"/>
      <c r="F706" s="126"/>
      <c r="G706" s="127"/>
      <c r="H706" s="127"/>
      <c r="I706" s="127"/>
    </row>
    <row r="707" spans="1:9" x14ac:dyDescent="0.3">
      <c r="A707" s="125"/>
      <c r="B707" s="125"/>
      <c r="C707" s="125"/>
      <c r="D707" s="125"/>
      <c r="E707" s="126"/>
      <c r="F707" s="126"/>
      <c r="G707" s="127"/>
      <c r="H707" s="127"/>
      <c r="I707" s="127"/>
    </row>
    <row r="708" spans="1:9" x14ac:dyDescent="0.3">
      <c r="A708" s="125"/>
      <c r="B708" s="125"/>
      <c r="C708" s="125"/>
      <c r="D708" s="125"/>
      <c r="E708" s="126"/>
      <c r="F708" s="126"/>
      <c r="G708" s="127"/>
      <c r="H708" s="127"/>
      <c r="I708" s="127"/>
    </row>
    <row r="709" spans="1:9" x14ac:dyDescent="0.3">
      <c r="A709" s="125"/>
      <c r="B709" s="125"/>
      <c r="C709" s="125"/>
      <c r="D709" s="125"/>
      <c r="E709" s="126"/>
      <c r="F709" s="126"/>
      <c r="G709" s="127"/>
      <c r="H709" s="127"/>
      <c r="I709" s="127"/>
    </row>
    <row r="710" spans="1:9" x14ac:dyDescent="0.3">
      <c r="A710" s="125"/>
      <c r="B710" s="125"/>
      <c r="C710" s="125"/>
      <c r="D710" s="125"/>
      <c r="E710" s="126"/>
      <c r="F710" s="126"/>
      <c r="G710" s="127"/>
      <c r="H710" s="127"/>
      <c r="I710" s="127"/>
    </row>
    <row r="711" spans="1:9" x14ac:dyDescent="0.3">
      <c r="A711" s="125"/>
      <c r="B711" s="125"/>
      <c r="C711" s="125"/>
      <c r="D711" s="125"/>
      <c r="E711" s="126"/>
      <c r="F711" s="126"/>
      <c r="G711" s="127"/>
      <c r="H711" s="127"/>
      <c r="I711" s="127"/>
    </row>
    <row r="712" spans="1:9" x14ac:dyDescent="0.3">
      <c r="A712" s="125"/>
      <c r="B712" s="125"/>
      <c r="C712" s="125"/>
      <c r="D712" s="125"/>
      <c r="E712" s="126"/>
      <c r="F712" s="126"/>
      <c r="G712" s="127"/>
      <c r="H712" s="127"/>
      <c r="I712" s="127"/>
    </row>
    <row r="713" spans="1:9" x14ac:dyDescent="0.3">
      <c r="A713" s="125"/>
      <c r="B713" s="125"/>
      <c r="C713" s="125"/>
      <c r="D713" s="125"/>
      <c r="E713" s="126"/>
      <c r="F713" s="126"/>
      <c r="G713" s="127"/>
      <c r="H713" s="127"/>
      <c r="I713" s="127"/>
    </row>
    <row r="714" spans="1:9" x14ac:dyDescent="0.3">
      <c r="A714" s="125"/>
      <c r="B714" s="125"/>
      <c r="C714" s="125"/>
      <c r="D714" s="125"/>
      <c r="E714" s="126"/>
      <c r="F714" s="126"/>
      <c r="G714" s="127"/>
      <c r="H714" s="127"/>
      <c r="I714" s="127"/>
    </row>
    <row r="715" spans="1:9" x14ac:dyDescent="0.3">
      <c r="A715" s="125"/>
      <c r="B715" s="125"/>
      <c r="C715" s="125"/>
      <c r="D715" s="125"/>
      <c r="E715" s="126"/>
      <c r="F715" s="126"/>
      <c r="G715" s="127"/>
      <c r="H715" s="127"/>
      <c r="I715" s="127"/>
    </row>
    <row r="716" spans="1:9" x14ac:dyDescent="0.3">
      <c r="A716" s="125"/>
      <c r="B716" s="125"/>
      <c r="C716" s="125"/>
      <c r="D716" s="125"/>
      <c r="E716" s="126"/>
      <c r="F716" s="126"/>
      <c r="G716" s="127"/>
      <c r="H716" s="127"/>
      <c r="I716" s="127"/>
    </row>
    <row r="717" spans="1:9" x14ac:dyDescent="0.3">
      <c r="A717" s="125"/>
      <c r="B717" s="125"/>
      <c r="C717" s="125"/>
      <c r="D717" s="125"/>
      <c r="E717" s="126"/>
      <c r="F717" s="126"/>
      <c r="G717" s="127"/>
      <c r="H717" s="127"/>
      <c r="I717" s="127"/>
    </row>
    <row r="718" spans="1:9" x14ac:dyDescent="0.3">
      <c r="A718" s="126"/>
      <c r="B718" s="126"/>
      <c r="C718" s="126"/>
      <c r="D718" s="128"/>
      <c r="E718" s="129"/>
      <c r="F718" s="126"/>
      <c r="G718" s="127"/>
      <c r="H718" s="127"/>
      <c r="I718" s="127"/>
    </row>
    <row r="719" spans="1:9" x14ac:dyDescent="0.3">
      <c r="A719" s="126"/>
      <c r="B719" s="126"/>
      <c r="C719" s="126"/>
      <c r="D719" s="126"/>
      <c r="E719" s="126"/>
      <c r="F719" s="126"/>
      <c r="G719" s="127"/>
      <c r="H719" s="127"/>
      <c r="I719" s="127"/>
    </row>
    <row r="720" spans="1:9" x14ac:dyDescent="0.3">
      <c r="A720" s="126"/>
      <c r="B720" s="126"/>
      <c r="C720" s="126"/>
      <c r="D720" s="126"/>
      <c r="E720" s="126"/>
      <c r="F720" s="126"/>
      <c r="G720" s="127"/>
      <c r="H720" s="127"/>
      <c r="I720" s="127"/>
    </row>
    <row r="721" spans="1:9" x14ac:dyDescent="0.3">
      <c r="A721" s="126"/>
      <c r="B721" s="126"/>
      <c r="C721" s="126"/>
      <c r="D721" s="126"/>
      <c r="E721" s="126"/>
      <c r="F721" s="126"/>
      <c r="G721" s="127"/>
      <c r="H721" s="127"/>
      <c r="I721" s="127"/>
    </row>
    <row r="722" spans="1:9" x14ac:dyDescent="0.3">
      <c r="A722" s="126"/>
      <c r="B722" s="126"/>
      <c r="C722" s="126"/>
      <c r="D722" s="126"/>
      <c r="E722" s="126"/>
      <c r="F722" s="126"/>
      <c r="G722" s="127"/>
      <c r="H722" s="127"/>
      <c r="I722" s="127"/>
    </row>
    <row r="723" spans="1:9" x14ac:dyDescent="0.3">
      <c r="A723" s="126"/>
      <c r="B723" s="126"/>
      <c r="C723" s="126"/>
      <c r="D723" s="126"/>
      <c r="E723" s="126"/>
      <c r="F723" s="126"/>
      <c r="G723" s="127"/>
      <c r="H723" s="127"/>
      <c r="I723" s="127"/>
    </row>
    <row r="724" spans="1:9" x14ac:dyDescent="0.3">
      <c r="A724" s="130"/>
      <c r="B724" s="126"/>
      <c r="C724" s="126"/>
      <c r="D724" s="126"/>
      <c r="E724" s="126"/>
      <c r="F724" s="126"/>
      <c r="G724" s="127"/>
      <c r="H724" s="127"/>
      <c r="I724" s="127"/>
    </row>
    <row r="725" spans="1:9" x14ac:dyDescent="0.3">
      <c r="A725" s="131"/>
      <c r="B725" s="126"/>
      <c r="C725" s="126"/>
      <c r="D725" s="126"/>
      <c r="E725" s="126"/>
      <c r="F725" s="126"/>
      <c r="G725" s="127"/>
      <c r="H725" s="127"/>
      <c r="I725" s="127"/>
    </row>
    <row r="726" spans="1:9" x14ac:dyDescent="0.3">
      <c r="A726" s="131"/>
      <c r="B726" s="126"/>
      <c r="C726" s="126"/>
      <c r="D726" s="126"/>
      <c r="E726" s="126"/>
      <c r="F726" s="126"/>
      <c r="G726" s="127"/>
      <c r="H726" s="127"/>
      <c r="I726" s="127"/>
    </row>
    <row r="727" spans="1:9" x14ac:dyDescent="0.3">
      <c r="A727" s="128"/>
      <c r="B727" s="129"/>
      <c r="C727" s="126"/>
      <c r="D727" s="126"/>
      <c r="E727" s="126"/>
      <c r="F727" s="126"/>
      <c r="G727" s="127"/>
      <c r="H727" s="127"/>
      <c r="I727" s="127"/>
    </row>
    <row r="728" spans="1:9" x14ac:dyDescent="0.3">
      <c r="A728" s="131"/>
      <c r="B728" s="126"/>
      <c r="C728" s="126"/>
      <c r="D728" s="126"/>
      <c r="E728" s="126"/>
      <c r="F728" s="126"/>
      <c r="G728" s="127"/>
      <c r="H728" s="127"/>
      <c r="I728" s="127"/>
    </row>
    <row r="729" spans="1:9" x14ac:dyDescent="0.3">
      <c r="A729" s="131"/>
      <c r="B729" s="126"/>
      <c r="C729" s="126"/>
      <c r="D729" s="126"/>
      <c r="E729" s="126"/>
      <c r="F729" s="126"/>
      <c r="G729" s="127"/>
      <c r="H729" s="127"/>
      <c r="I729" s="127"/>
    </row>
    <row r="730" spans="1:9" x14ac:dyDescent="0.3">
      <c r="A730" s="131"/>
      <c r="B730" s="126"/>
      <c r="C730" s="126"/>
      <c r="D730" s="126"/>
      <c r="E730" s="126"/>
      <c r="F730" s="126"/>
      <c r="G730" s="127"/>
      <c r="H730" s="127"/>
      <c r="I730" s="127"/>
    </row>
    <row r="731" spans="1:9" x14ac:dyDescent="0.3">
      <c r="A731" s="131"/>
      <c r="B731" s="126"/>
      <c r="C731" s="126"/>
      <c r="D731" s="126"/>
      <c r="E731" s="126"/>
      <c r="F731" s="126"/>
      <c r="G731" s="127"/>
      <c r="H731" s="127"/>
      <c r="I731" s="127"/>
    </row>
    <row r="732" spans="1:9" x14ac:dyDescent="0.3">
      <c r="A732" s="130"/>
      <c r="B732" s="126"/>
      <c r="C732" s="126"/>
      <c r="D732" s="126"/>
      <c r="E732" s="126"/>
      <c r="F732" s="126"/>
      <c r="G732" s="127"/>
      <c r="H732" s="127"/>
      <c r="I732" s="127"/>
    </row>
    <row r="733" spans="1:9" x14ac:dyDescent="0.3">
      <c r="A733" s="131"/>
      <c r="B733" s="126"/>
      <c r="C733" s="126"/>
      <c r="D733" s="126"/>
      <c r="E733" s="126"/>
      <c r="F733" s="126"/>
      <c r="G733" s="127"/>
      <c r="H733" s="127"/>
      <c r="I733" s="127"/>
    </row>
    <row r="734" spans="1:9" x14ac:dyDescent="0.3">
      <c r="A734" s="131"/>
      <c r="B734" s="126"/>
      <c r="C734" s="126"/>
      <c r="D734" s="126"/>
      <c r="E734" s="126"/>
      <c r="F734" s="126"/>
      <c r="G734" s="127"/>
      <c r="H734" s="127"/>
      <c r="I734" s="127"/>
    </row>
    <row r="735" spans="1:9" x14ac:dyDescent="0.3">
      <c r="A735" s="128"/>
      <c r="B735" s="129"/>
      <c r="C735" s="126"/>
      <c r="D735" s="126"/>
      <c r="E735" s="126"/>
      <c r="F735" s="126"/>
      <c r="G735" s="127"/>
      <c r="H735" s="127"/>
      <c r="I735" s="127"/>
    </row>
    <row r="736" spans="1:9" x14ac:dyDescent="0.3">
      <c r="A736" s="126"/>
      <c r="B736" s="126"/>
      <c r="C736" s="126"/>
      <c r="D736" s="126"/>
      <c r="E736" s="126"/>
      <c r="F736" s="126"/>
      <c r="G736" s="127"/>
      <c r="H736" s="127"/>
      <c r="I736" s="127"/>
    </row>
    <row r="737" spans="1:9" x14ac:dyDescent="0.3">
      <c r="A737" s="126"/>
      <c r="B737" s="126"/>
      <c r="C737" s="126"/>
      <c r="D737" s="126"/>
      <c r="E737" s="126"/>
      <c r="F737" s="126"/>
      <c r="G737" s="127"/>
      <c r="H737" s="127"/>
      <c r="I737" s="127"/>
    </row>
    <row r="738" spans="1:9" x14ac:dyDescent="0.3">
      <c r="A738" s="126"/>
      <c r="B738" s="126"/>
      <c r="C738" s="126"/>
      <c r="D738" s="126"/>
      <c r="E738" s="126"/>
      <c r="F738" s="126"/>
      <c r="G738" s="127"/>
      <c r="H738" s="127"/>
      <c r="I738" s="127"/>
    </row>
    <row r="739" spans="1:9" x14ac:dyDescent="0.3">
      <c r="A739" s="126"/>
      <c r="B739" s="126"/>
      <c r="C739" s="126"/>
      <c r="D739" s="126"/>
      <c r="E739" s="126"/>
      <c r="F739" s="126"/>
      <c r="G739" s="127"/>
      <c r="H739" s="127"/>
      <c r="I739" s="127"/>
    </row>
    <row r="740" spans="1:9" x14ac:dyDescent="0.3">
      <c r="A740" s="130"/>
      <c r="B740" s="126"/>
      <c r="C740" s="126"/>
      <c r="D740" s="126"/>
      <c r="E740" s="126"/>
      <c r="F740" s="126"/>
      <c r="G740" s="127"/>
      <c r="H740" s="127"/>
      <c r="I740" s="127"/>
    </row>
    <row r="741" spans="1:9" x14ac:dyDescent="0.3">
      <c r="A741" s="125"/>
      <c r="B741" s="126"/>
      <c r="C741" s="126"/>
      <c r="D741" s="126"/>
      <c r="E741" s="126"/>
      <c r="F741" s="126"/>
      <c r="G741" s="127"/>
      <c r="H741" s="127"/>
      <c r="I741" s="127"/>
    </row>
    <row r="742" spans="1:9" x14ac:dyDescent="0.3">
      <c r="A742" s="125"/>
      <c r="B742" s="126"/>
      <c r="C742" s="126"/>
      <c r="D742" s="126"/>
      <c r="E742" s="126"/>
      <c r="F742" s="126"/>
      <c r="G742" s="127"/>
      <c r="H742" s="127"/>
      <c r="I742" s="127"/>
    </row>
    <row r="743" spans="1:9" x14ac:dyDescent="0.3">
      <c r="A743" s="128"/>
      <c r="B743" s="129"/>
      <c r="C743" s="126"/>
      <c r="D743" s="126"/>
      <c r="E743" s="126"/>
      <c r="F743" s="126"/>
      <c r="G743" s="127"/>
      <c r="H743" s="127"/>
      <c r="I743" s="127"/>
    </row>
    <row r="744" spans="1:9" x14ac:dyDescent="0.3">
      <c r="A744" s="126"/>
      <c r="B744" s="126"/>
      <c r="C744" s="126"/>
      <c r="D744" s="126"/>
      <c r="E744" s="126"/>
      <c r="F744" s="126"/>
      <c r="G744" s="127"/>
      <c r="H744" s="127"/>
      <c r="I744" s="127"/>
    </row>
    <row r="745" spans="1:9" x14ac:dyDescent="0.3">
      <c r="A745" s="126"/>
      <c r="B745" s="126"/>
      <c r="C745" s="126"/>
      <c r="D745" s="126"/>
      <c r="E745" s="126"/>
      <c r="F745" s="126"/>
      <c r="G745" s="127"/>
      <c r="H745" s="127"/>
      <c r="I745" s="127"/>
    </row>
    <row r="746" spans="1:9" x14ac:dyDescent="0.3">
      <c r="A746" s="126"/>
      <c r="B746" s="126"/>
      <c r="C746" s="126"/>
      <c r="D746" s="126"/>
      <c r="E746" s="126"/>
      <c r="F746" s="126"/>
      <c r="G746" s="127"/>
      <c r="H746" s="127"/>
      <c r="I746" s="127"/>
    </row>
    <row r="747" spans="1:9" x14ac:dyDescent="0.3">
      <c r="A747" s="126"/>
      <c r="B747" s="126"/>
      <c r="C747" s="126"/>
      <c r="D747" s="126"/>
      <c r="E747" s="126"/>
      <c r="F747" s="126"/>
      <c r="G747" s="127"/>
      <c r="H747" s="127"/>
      <c r="I747" s="127"/>
    </row>
    <row r="748" spans="1:9" x14ac:dyDescent="0.3">
      <c r="A748" s="130"/>
      <c r="B748" s="129"/>
      <c r="C748" s="132"/>
      <c r="D748" s="126"/>
      <c r="E748" s="126"/>
      <c r="F748" s="126"/>
      <c r="G748" s="127"/>
      <c r="H748" s="127"/>
      <c r="I748" s="127"/>
    </row>
    <row r="749" spans="1:9" x14ac:dyDescent="0.3">
      <c r="A749" s="131"/>
      <c r="B749" s="129"/>
      <c r="C749" s="127"/>
      <c r="D749" s="127"/>
      <c r="E749" s="127"/>
      <c r="F749" s="127"/>
      <c r="G749" s="127"/>
      <c r="H749" s="127"/>
      <c r="I749" s="127"/>
    </row>
    <row r="750" spans="1:9" x14ac:dyDescent="0.3">
      <c r="A750" s="131"/>
      <c r="B750" s="129"/>
      <c r="C750" s="126"/>
      <c r="D750" s="126"/>
      <c r="E750" s="126"/>
      <c r="F750" s="126"/>
      <c r="G750" s="127"/>
      <c r="H750" s="127"/>
      <c r="I750" s="127"/>
    </row>
    <row r="751" spans="1:9" x14ac:dyDescent="0.3">
      <c r="A751" s="131"/>
      <c r="B751" s="129"/>
      <c r="C751" s="126"/>
      <c r="D751" s="126"/>
      <c r="E751" s="126"/>
      <c r="F751" s="126"/>
      <c r="G751" s="127"/>
      <c r="H751" s="127"/>
      <c r="I751" s="127"/>
    </row>
    <row r="752" spans="1:9" x14ac:dyDescent="0.3">
      <c r="A752" s="131"/>
      <c r="B752" s="129"/>
      <c r="C752" s="126"/>
      <c r="D752" s="126"/>
      <c r="E752" s="126"/>
      <c r="F752" s="126"/>
      <c r="G752" s="127"/>
      <c r="H752" s="127"/>
      <c r="I752" s="127"/>
    </row>
    <row r="753" spans="1:9" x14ac:dyDescent="0.3">
      <c r="A753" s="131"/>
      <c r="B753" s="129"/>
      <c r="C753" s="126"/>
      <c r="D753" s="126"/>
      <c r="E753" s="126"/>
      <c r="F753" s="126"/>
      <c r="G753" s="127"/>
      <c r="H753" s="127"/>
      <c r="I753" s="127"/>
    </row>
    <row r="754" spans="1:9" x14ac:dyDescent="0.3">
      <c r="A754" s="131"/>
      <c r="B754" s="129"/>
      <c r="C754" s="126"/>
      <c r="D754" s="126"/>
      <c r="E754" s="126"/>
      <c r="F754" s="126"/>
      <c r="G754" s="127"/>
      <c r="H754" s="127"/>
      <c r="I754" s="127"/>
    </row>
    <row r="755" spans="1:9" x14ac:dyDescent="0.3">
      <c r="A755" s="131"/>
      <c r="B755" s="129"/>
      <c r="C755" s="126"/>
      <c r="D755" s="126"/>
      <c r="E755" s="126"/>
      <c r="F755" s="126"/>
      <c r="G755" s="127"/>
      <c r="H755" s="127"/>
      <c r="I755" s="127"/>
    </row>
    <row r="756" spans="1:9" x14ac:dyDescent="0.3">
      <c r="A756" s="131"/>
      <c r="B756" s="129"/>
      <c r="C756" s="126"/>
      <c r="D756" s="126"/>
      <c r="E756" s="126"/>
      <c r="F756" s="126"/>
      <c r="G756" s="127"/>
      <c r="H756" s="127"/>
      <c r="I756" s="127"/>
    </row>
    <row r="757" spans="1:9" x14ac:dyDescent="0.3">
      <c r="A757" s="128"/>
      <c r="B757" s="129"/>
      <c r="C757" s="126"/>
      <c r="D757" s="126"/>
      <c r="E757" s="126"/>
      <c r="F757" s="126"/>
      <c r="G757" s="127"/>
      <c r="H757" s="127"/>
      <c r="I757" s="127"/>
    </row>
    <row r="758" spans="1:9" x14ac:dyDescent="0.3">
      <c r="A758" s="127"/>
      <c r="B758" s="127"/>
      <c r="C758" s="126"/>
      <c r="D758" s="126"/>
      <c r="E758" s="126"/>
      <c r="F758" s="126"/>
      <c r="G758" s="127"/>
      <c r="H758" s="127"/>
      <c r="I758" s="127"/>
    </row>
    <row r="759" spans="1:9" x14ac:dyDescent="0.3">
      <c r="A759" s="127"/>
      <c r="B759" s="127"/>
      <c r="C759" s="126"/>
      <c r="D759" s="126"/>
      <c r="E759" s="126"/>
      <c r="F759" s="126"/>
      <c r="G759" s="127"/>
      <c r="H759" s="127"/>
      <c r="I759" s="127"/>
    </row>
    <row r="760" spans="1:9" x14ac:dyDescent="0.3">
      <c r="A760" s="127"/>
      <c r="B760" s="127"/>
      <c r="C760" s="126"/>
      <c r="D760" s="126"/>
      <c r="E760" s="126"/>
      <c r="F760" s="126"/>
      <c r="G760" s="127"/>
      <c r="H760" s="127"/>
      <c r="I760" s="127"/>
    </row>
    <row r="761" spans="1:9" x14ac:dyDescent="0.3">
      <c r="A761" s="127"/>
      <c r="B761" s="127"/>
      <c r="C761" s="126"/>
      <c r="D761" s="126"/>
      <c r="E761" s="126"/>
      <c r="F761" s="126"/>
      <c r="G761" s="127"/>
      <c r="H761" s="127"/>
      <c r="I761" s="127"/>
    </row>
    <row r="762" spans="1:9" x14ac:dyDescent="0.3">
      <c r="A762" s="125"/>
      <c r="B762" s="133"/>
      <c r="C762" s="125"/>
      <c r="D762" s="133"/>
      <c r="E762" s="125"/>
      <c r="F762" s="133"/>
      <c r="G762" s="128"/>
      <c r="H762" s="129"/>
      <c r="I762" s="129"/>
    </row>
    <row r="763" spans="1:9" x14ac:dyDescent="0.3">
      <c r="A763" s="134"/>
      <c r="B763" s="127"/>
      <c r="C763" s="126"/>
      <c r="D763" s="126"/>
      <c r="E763" s="126"/>
      <c r="F763" s="126"/>
      <c r="G763" s="127"/>
      <c r="H763" s="127"/>
      <c r="I763" s="127"/>
    </row>
    <row r="764" spans="1:9" x14ac:dyDescent="0.3">
      <c r="A764" s="127"/>
      <c r="B764" s="127"/>
      <c r="C764" s="126"/>
      <c r="D764" s="126"/>
      <c r="E764" s="126"/>
      <c r="F764" s="126"/>
      <c r="G764" s="127"/>
      <c r="H764" s="127"/>
      <c r="I764" s="127"/>
    </row>
    <row r="765" spans="1:9" x14ac:dyDescent="0.3">
      <c r="A765" s="127"/>
      <c r="B765" s="127"/>
      <c r="C765" s="126"/>
      <c r="D765" s="126"/>
      <c r="E765" s="126"/>
      <c r="F765" s="126"/>
      <c r="G765" s="127"/>
      <c r="H765" s="127"/>
      <c r="I765" s="127"/>
    </row>
    <row r="766" spans="1:9" x14ac:dyDescent="0.3">
      <c r="A766" s="135"/>
      <c r="B766" s="135"/>
      <c r="C766" s="135"/>
      <c r="D766" s="135"/>
      <c r="E766" s="135"/>
      <c r="F766" s="135"/>
      <c r="G766" s="135"/>
      <c r="H766" s="127"/>
      <c r="I766" s="127"/>
    </row>
    <row r="767" spans="1:9" x14ac:dyDescent="0.3">
      <c r="A767" s="135"/>
      <c r="B767" s="135"/>
      <c r="C767" s="135"/>
      <c r="D767" s="135"/>
      <c r="E767" s="135"/>
      <c r="F767" s="135"/>
      <c r="G767" s="135"/>
      <c r="H767" s="127"/>
      <c r="I767" s="127"/>
    </row>
    <row r="768" spans="1:9" x14ac:dyDescent="0.3">
      <c r="A768" s="126"/>
      <c r="B768" s="126"/>
      <c r="C768" s="126"/>
      <c r="D768" s="126"/>
      <c r="E768" s="126"/>
      <c r="F768" s="126"/>
      <c r="G768" s="127"/>
      <c r="H768" s="127"/>
      <c r="I768" s="127"/>
    </row>
    <row r="769" spans="1:9" x14ac:dyDescent="0.3">
      <c r="A769" s="130"/>
      <c r="B769" s="126"/>
      <c r="C769" s="126"/>
      <c r="D769" s="126"/>
      <c r="E769" s="126"/>
      <c r="F769" s="126"/>
      <c r="G769" s="127"/>
      <c r="H769" s="127"/>
      <c r="I769" s="127"/>
    </row>
    <row r="770" spans="1:9" x14ac:dyDescent="0.3">
      <c r="A770" s="131"/>
      <c r="B770" s="126"/>
      <c r="C770" s="126"/>
      <c r="D770" s="126"/>
      <c r="E770" s="126"/>
      <c r="F770" s="126"/>
      <c r="G770" s="127"/>
      <c r="H770" s="127"/>
      <c r="I770" s="127"/>
    </row>
    <row r="771" spans="1:9" x14ac:dyDescent="0.3">
      <c r="A771" s="131"/>
      <c r="B771" s="126"/>
      <c r="C771" s="126"/>
      <c r="D771" s="126"/>
      <c r="E771" s="126"/>
      <c r="F771" s="126"/>
      <c r="G771" s="127"/>
      <c r="H771" s="127"/>
      <c r="I771" s="127"/>
    </row>
    <row r="772" spans="1:9" x14ac:dyDescent="0.3">
      <c r="A772" s="131"/>
      <c r="B772" s="126"/>
      <c r="C772" s="126"/>
      <c r="D772" s="126"/>
      <c r="E772" s="126"/>
      <c r="F772" s="126"/>
      <c r="G772" s="127"/>
      <c r="H772" s="127"/>
      <c r="I772" s="127"/>
    </row>
    <row r="773" spans="1:9" x14ac:dyDescent="0.3">
      <c r="A773" s="131"/>
      <c r="B773" s="126"/>
      <c r="C773" s="126"/>
      <c r="D773" s="126"/>
      <c r="E773" s="126"/>
      <c r="F773" s="126"/>
      <c r="G773" s="127"/>
      <c r="H773" s="127"/>
      <c r="I773" s="127"/>
    </row>
    <row r="774" spans="1:9" x14ac:dyDescent="0.3">
      <c r="A774" s="128"/>
      <c r="B774" s="129"/>
      <c r="C774" s="126"/>
      <c r="D774" s="126"/>
      <c r="E774" s="126"/>
      <c r="F774" s="126"/>
      <c r="G774" s="127"/>
      <c r="H774" s="127"/>
      <c r="I774" s="127"/>
    </row>
    <row r="775" spans="1:9" x14ac:dyDescent="0.3">
      <c r="A775" s="126"/>
      <c r="B775" s="126"/>
      <c r="C775" s="126"/>
      <c r="D775" s="126"/>
      <c r="E775" s="126"/>
      <c r="F775" s="126"/>
      <c r="G775" s="127"/>
      <c r="H775" s="127"/>
      <c r="I775" s="127"/>
    </row>
    <row r="776" spans="1:9" x14ac:dyDescent="0.3">
      <c r="A776" s="126"/>
      <c r="B776" s="126"/>
      <c r="C776" s="126"/>
      <c r="D776" s="126"/>
      <c r="E776" s="126"/>
      <c r="F776" s="126"/>
      <c r="G776" s="127"/>
      <c r="H776" s="127"/>
      <c r="I776" s="127"/>
    </row>
    <row r="777" spans="1:9" x14ac:dyDescent="0.3">
      <c r="A777" s="126"/>
      <c r="B777" s="126"/>
      <c r="C777" s="126"/>
      <c r="D777" s="126"/>
      <c r="E777" s="126"/>
      <c r="F777" s="126"/>
      <c r="G777" s="127"/>
      <c r="H777" s="127"/>
      <c r="I777" s="127"/>
    </row>
    <row r="778" spans="1:9" x14ac:dyDescent="0.3">
      <c r="A778" s="126"/>
      <c r="B778" s="126"/>
      <c r="C778" s="126"/>
      <c r="D778" s="126"/>
      <c r="E778" s="126"/>
      <c r="F778" s="126"/>
      <c r="G778" s="127"/>
      <c r="H778" s="127"/>
      <c r="I778" s="127"/>
    </row>
    <row r="779" spans="1:9" x14ac:dyDescent="0.3">
      <c r="A779" s="126"/>
      <c r="B779" s="126"/>
      <c r="C779" s="126"/>
      <c r="D779" s="126"/>
      <c r="E779" s="126"/>
      <c r="F779" s="126"/>
      <c r="G779" s="127"/>
      <c r="H779" s="127"/>
      <c r="I779" s="127"/>
    </row>
    <row r="780" spans="1:9" x14ac:dyDescent="0.3">
      <c r="A780" s="130"/>
      <c r="B780" s="130"/>
      <c r="C780" s="130"/>
      <c r="D780" s="130"/>
      <c r="E780" s="126"/>
      <c r="F780" s="126"/>
      <c r="G780" s="127"/>
      <c r="H780" s="127"/>
      <c r="I780" s="127"/>
    </row>
    <row r="781" spans="1:9" x14ac:dyDescent="0.3">
      <c r="A781" s="131"/>
      <c r="B781" s="131"/>
      <c r="C781" s="131"/>
      <c r="D781" s="131"/>
      <c r="E781" s="126"/>
      <c r="F781" s="126"/>
      <c r="G781" s="127"/>
      <c r="H781" s="127"/>
      <c r="I781" s="127"/>
    </row>
    <row r="782" spans="1:9" x14ac:dyDescent="0.3">
      <c r="A782" s="131"/>
      <c r="B782" s="131"/>
      <c r="C782" s="131"/>
      <c r="D782" s="131"/>
      <c r="E782" s="126"/>
      <c r="F782" s="126"/>
      <c r="G782" s="127"/>
      <c r="H782" s="127"/>
      <c r="I782" s="127"/>
    </row>
    <row r="783" spans="1:9" x14ac:dyDescent="0.3">
      <c r="A783" s="131"/>
      <c r="B783" s="131"/>
      <c r="C783" s="131"/>
      <c r="D783" s="131"/>
      <c r="E783" s="126"/>
      <c r="F783" s="126"/>
      <c r="G783" s="127"/>
      <c r="H783" s="127"/>
      <c r="I783" s="127"/>
    </row>
    <row r="784" spans="1:9" x14ac:dyDescent="0.3">
      <c r="A784" s="131"/>
      <c r="B784" s="131"/>
      <c r="C784" s="131"/>
      <c r="D784" s="131"/>
      <c r="E784" s="126"/>
      <c r="F784" s="126"/>
      <c r="G784" s="127"/>
      <c r="H784" s="127"/>
      <c r="I784" s="127"/>
    </row>
    <row r="785" spans="1:9" x14ac:dyDescent="0.3">
      <c r="A785" s="125"/>
      <c r="B785" s="125"/>
      <c r="C785" s="125"/>
      <c r="D785" s="131"/>
      <c r="E785" s="126"/>
      <c r="F785" s="126"/>
      <c r="G785" s="127"/>
      <c r="H785" s="127"/>
      <c r="I785" s="127"/>
    </row>
    <row r="786" spans="1:9" x14ac:dyDescent="0.3">
      <c r="A786" s="125"/>
      <c r="B786" s="125"/>
      <c r="C786" s="125"/>
      <c r="D786" s="131"/>
      <c r="E786" s="126"/>
      <c r="F786" s="126"/>
      <c r="G786" s="127"/>
      <c r="H786" s="127"/>
      <c r="I786" s="127"/>
    </row>
    <row r="787" spans="1:9" x14ac:dyDescent="0.3">
      <c r="A787" s="126"/>
      <c r="B787" s="126"/>
      <c r="C787" s="126"/>
      <c r="D787" s="128"/>
      <c r="E787" s="129"/>
      <c r="F787" s="126"/>
      <c r="G787" s="127"/>
      <c r="H787" s="127"/>
      <c r="I787" s="127"/>
    </row>
    <row r="788" spans="1:9" x14ac:dyDescent="0.3">
      <c r="A788" s="126"/>
      <c r="B788" s="126"/>
      <c r="C788" s="126"/>
      <c r="D788" s="126"/>
      <c r="E788" s="126"/>
      <c r="F788" s="126"/>
      <c r="G788" s="127"/>
      <c r="H788" s="127"/>
      <c r="I788" s="127"/>
    </row>
    <row r="789" spans="1:9" x14ac:dyDescent="0.3">
      <c r="A789" s="126"/>
      <c r="B789" s="126"/>
      <c r="C789" s="126"/>
      <c r="D789" s="126"/>
      <c r="E789" s="126"/>
      <c r="F789" s="126"/>
      <c r="G789" s="127"/>
      <c r="H789" s="127"/>
      <c r="I789" s="127"/>
    </row>
    <row r="790" spans="1:9" x14ac:dyDescent="0.3">
      <c r="A790" s="126"/>
      <c r="B790" s="126"/>
      <c r="C790" s="126"/>
      <c r="D790" s="126"/>
      <c r="E790" s="126"/>
      <c r="F790" s="126"/>
      <c r="G790" s="127"/>
      <c r="H790" s="127"/>
      <c r="I790" s="127"/>
    </row>
    <row r="791" spans="1:9" x14ac:dyDescent="0.3">
      <c r="A791" s="126"/>
      <c r="B791" s="126"/>
      <c r="C791" s="126"/>
      <c r="D791" s="126"/>
      <c r="E791" s="126"/>
      <c r="F791" s="126"/>
      <c r="G791" s="127"/>
      <c r="H791" s="127"/>
      <c r="I791" s="127"/>
    </row>
    <row r="792" spans="1:9" x14ac:dyDescent="0.3">
      <c r="A792" s="130"/>
      <c r="B792" s="130"/>
      <c r="C792" s="130"/>
      <c r="D792" s="130"/>
      <c r="E792" s="126"/>
      <c r="F792" s="126"/>
      <c r="G792" s="127"/>
      <c r="H792" s="127"/>
      <c r="I792" s="127"/>
    </row>
    <row r="793" spans="1:9" x14ac:dyDescent="0.3">
      <c r="A793" s="125"/>
      <c r="B793" s="125"/>
      <c r="C793" s="125"/>
      <c r="D793" s="131"/>
      <c r="E793" s="129"/>
      <c r="F793" s="126"/>
      <c r="G793" s="127"/>
      <c r="H793" s="127"/>
      <c r="I793" s="127"/>
    </row>
    <row r="794" spans="1:9" x14ac:dyDescent="0.3">
      <c r="A794" s="125"/>
      <c r="B794" s="125"/>
      <c r="C794" s="125"/>
      <c r="D794" s="131"/>
      <c r="E794" s="129"/>
      <c r="F794" s="126"/>
      <c r="G794" s="127"/>
      <c r="H794" s="127"/>
      <c r="I794" s="127"/>
    </row>
    <row r="795" spans="1:9" x14ac:dyDescent="0.3">
      <c r="A795" s="125"/>
      <c r="B795" s="125"/>
      <c r="C795" s="125"/>
      <c r="D795" s="131"/>
      <c r="E795" s="129"/>
      <c r="F795" s="126"/>
      <c r="G795" s="127"/>
      <c r="H795" s="127"/>
      <c r="I795" s="127"/>
    </row>
    <row r="796" spans="1:9" x14ac:dyDescent="0.3">
      <c r="A796" s="125"/>
      <c r="B796" s="125"/>
      <c r="C796" s="125"/>
      <c r="D796" s="131"/>
      <c r="E796" s="129"/>
      <c r="F796" s="126"/>
      <c r="G796" s="127"/>
      <c r="H796" s="127"/>
      <c r="I796" s="127"/>
    </row>
    <row r="797" spans="1:9" x14ac:dyDescent="0.3">
      <c r="A797" s="125"/>
      <c r="B797" s="125"/>
      <c r="C797" s="125"/>
      <c r="D797" s="131"/>
      <c r="E797" s="129"/>
      <c r="F797" s="126"/>
      <c r="G797" s="127"/>
      <c r="H797" s="127"/>
      <c r="I797" s="127"/>
    </row>
    <row r="798" spans="1:9" x14ac:dyDescent="0.3">
      <c r="A798" s="125"/>
      <c r="B798" s="125"/>
      <c r="C798" s="125"/>
      <c r="D798" s="131"/>
      <c r="E798" s="129"/>
      <c r="F798" s="126"/>
      <c r="G798" s="127"/>
      <c r="H798" s="127"/>
      <c r="I798" s="127"/>
    </row>
    <row r="799" spans="1:9" x14ac:dyDescent="0.3">
      <c r="A799" s="125"/>
      <c r="B799" s="125"/>
      <c r="C799" s="125"/>
      <c r="D799" s="131"/>
      <c r="E799" s="129"/>
      <c r="F799" s="126"/>
      <c r="G799" s="127"/>
      <c r="H799" s="127"/>
      <c r="I799" s="127"/>
    </row>
    <row r="800" spans="1:9" x14ac:dyDescent="0.3">
      <c r="A800" s="125"/>
      <c r="B800" s="125"/>
      <c r="C800" s="125"/>
      <c r="D800" s="131"/>
      <c r="E800" s="129"/>
      <c r="F800" s="126"/>
      <c r="G800" s="127"/>
      <c r="H800" s="127"/>
      <c r="I800" s="127"/>
    </row>
    <row r="801" spans="1:9" x14ac:dyDescent="0.3">
      <c r="A801" s="125"/>
      <c r="B801" s="125"/>
      <c r="C801" s="125"/>
      <c r="D801" s="131"/>
      <c r="E801" s="129"/>
      <c r="F801" s="126"/>
      <c r="G801" s="127"/>
      <c r="H801" s="127"/>
      <c r="I801" s="127"/>
    </row>
    <row r="802" spans="1:9" x14ac:dyDescent="0.3">
      <c r="A802" s="125"/>
      <c r="B802" s="125"/>
      <c r="C802" s="125"/>
      <c r="D802" s="131"/>
      <c r="E802" s="129"/>
      <c r="F802" s="126"/>
      <c r="G802" s="127"/>
      <c r="H802" s="127"/>
      <c r="I802" s="127"/>
    </row>
    <row r="803" spans="1:9" x14ac:dyDescent="0.3">
      <c r="A803" s="125"/>
      <c r="B803" s="125"/>
      <c r="C803" s="125"/>
      <c r="D803" s="131"/>
      <c r="E803" s="129"/>
      <c r="F803" s="126"/>
      <c r="G803" s="127"/>
      <c r="H803" s="127"/>
      <c r="I803" s="127"/>
    </row>
    <row r="804" spans="1:9" x14ac:dyDescent="0.3">
      <c r="A804" s="127"/>
      <c r="B804" s="127"/>
      <c r="C804" s="126"/>
      <c r="D804" s="128"/>
      <c r="E804" s="129"/>
      <c r="F804" s="126"/>
      <c r="G804" s="127"/>
      <c r="H804" s="127"/>
      <c r="I804" s="127"/>
    </row>
    <row r="805" spans="1:9" x14ac:dyDescent="0.3">
      <c r="A805" s="126"/>
      <c r="B805" s="126"/>
      <c r="C805" s="126"/>
      <c r="D805" s="126"/>
      <c r="E805" s="126"/>
      <c r="F805" s="126"/>
      <c r="G805" s="127"/>
      <c r="H805" s="127"/>
      <c r="I805" s="127"/>
    </row>
    <row r="806" spans="1:9" x14ac:dyDescent="0.3">
      <c r="A806" s="126"/>
      <c r="B806" s="126"/>
      <c r="C806" s="126"/>
      <c r="D806" s="126"/>
      <c r="E806" s="126"/>
      <c r="F806" s="126"/>
      <c r="G806" s="127"/>
      <c r="H806" s="127"/>
      <c r="I806" s="127"/>
    </row>
    <row r="807" spans="1:9" x14ac:dyDescent="0.3">
      <c r="A807" s="135"/>
      <c r="B807" s="135"/>
      <c r="C807" s="135"/>
      <c r="D807" s="135"/>
      <c r="E807" s="135"/>
      <c r="F807" s="135"/>
      <c r="G807" s="135"/>
      <c r="H807" s="127"/>
      <c r="I807" s="127"/>
    </row>
    <row r="808" spans="1:9" x14ac:dyDescent="0.3">
      <c r="A808" s="135"/>
      <c r="B808" s="135"/>
      <c r="C808" s="135"/>
      <c r="D808" s="135"/>
      <c r="E808" s="135"/>
      <c r="F808" s="135"/>
      <c r="G808" s="135"/>
      <c r="H808" s="127"/>
      <c r="I808" s="127"/>
    </row>
    <row r="809" spans="1:9" x14ac:dyDescent="0.3">
      <c r="A809" s="126"/>
      <c r="B809" s="126"/>
      <c r="C809" s="126"/>
      <c r="D809" s="126"/>
      <c r="E809" s="126"/>
      <c r="F809" s="126"/>
      <c r="G809" s="127"/>
      <c r="H809" s="127"/>
      <c r="I809" s="127"/>
    </row>
    <row r="810" spans="1:9" x14ac:dyDescent="0.3">
      <c r="A810" s="130"/>
      <c r="B810" s="126"/>
      <c r="C810" s="126"/>
      <c r="D810" s="126"/>
      <c r="E810" s="126"/>
      <c r="F810" s="126"/>
      <c r="G810" s="127"/>
      <c r="H810" s="127"/>
      <c r="I810" s="127"/>
    </row>
    <row r="811" spans="1:9" x14ac:dyDescent="0.3">
      <c r="A811" s="131"/>
      <c r="B811" s="125"/>
      <c r="C811" s="127"/>
      <c r="D811" s="126"/>
      <c r="E811" s="126"/>
      <c r="F811" s="126"/>
      <c r="G811" s="127"/>
      <c r="H811" s="127"/>
      <c r="I811" s="127"/>
    </row>
    <row r="812" spans="1:9" x14ac:dyDescent="0.3">
      <c r="A812" s="131"/>
      <c r="B812" s="126"/>
      <c r="C812" s="126"/>
      <c r="D812" s="126"/>
      <c r="E812" s="126"/>
      <c r="F812" s="126"/>
      <c r="G812" s="127"/>
      <c r="H812" s="127"/>
      <c r="I812" s="127"/>
    </row>
    <row r="813" spans="1:9" x14ac:dyDescent="0.3">
      <c r="A813" s="128"/>
      <c r="B813" s="129"/>
      <c r="C813" s="126"/>
      <c r="D813" s="126"/>
      <c r="E813" s="126"/>
      <c r="F813" s="126"/>
      <c r="G813" s="127"/>
      <c r="H813" s="127"/>
      <c r="I813" s="127"/>
    </row>
    <row r="814" spans="1:9" x14ac:dyDescent="0.3">
      <c r="A814" s="126"/>
      <c r="B814" s="126"/>
      <c r="C814" s="126"/>
      <c r="D814" s="126"/>
      <c r="E814" s="126"/>
      <c r="F814" s="126"/>
      <c r="G814" s="127"/>
      <c r="H814" s="127"/>
      <c r="I814" s="127"/>
    </row>
    <row r="815" spans="1:9" x14ac:dyDescent="0.3">
      <c r="A815" s="126"/>
      <c r="B815" s="126"/>
      <c r="C815" s="126"/>
      <c r="D815" s="126"/>
      <c r="E815" s="126"/>
      <c r="F815" s="126"/>
      <c r="G815" s="127"/>
      <c r="H815" s="127"/>
      <c r="I815" s="127"/>
    </row>
    <row r="816" spans="1:9" x14ac:dyDescent="0.3">
      <c r="A816" s="126"/>
      <c r="B816" s="126"/>
      <c r="C816" s="126"/>
      <c r="D816" s="126"/>
      <c r="E816" s="126"/>
      <c r="F816" s="126"/>
      <c r="G816" s="127"/>
      <c r="H816" s="127"/>
      <c r="I816" s="127"/>
    </row>
    <row r="817" spans="1:9" x14ac:dyDescent="0.3">
      <c r="A817" s="126"/>
      <c r="B817" s="126"/>
      <c r="C817" s="126"/>
      <c r="D817" s="126"/>
      <c r="E817" s="126"/>
      <c r="F817" s="126"/>
      <c r="G817" s="127"/>
      <c r="H817" s="127"/>
      <c r="I817" s="127"/>
    </row>
    <row r="818" spans="1:9" x14ac:dyDescent="0.3">
      <c r="A818" s="130"/>
      <c r="B818" s="130"/>
      <c r="C818" s="130"/>
      <c r="D818" s="130"/>
      <c r="E818" s="129"/>
      <c r="F818" s="126"/>
      <c r="G818" s="127"/>
      <c r="H818" s="127"/>
      <c r="I818" s="127"/>
    </row>
    <row r="819" spans="1:9" x14ac:dyDescent="0.3">
      <c r="A819" s="125"/>
      <c r="B819" s="125"/>
      <c r="C819" s="131"/>
      <c r="D819" s="131"/>
      <c r="E819" s="129"/>
      <c r="F819" s="126"/>
      <c r="G819" s="127"/>
      <c r="H819" s="127"/>
      <c r="I819" s="127"/>
    </row>
    <row r="820" spans="1:9" x14ac:dyDescent="0.3">
      <c r="A820" s="125"/>
      <c r="B820" s="125"/>
      <c r="C820" s="131"/>
      <c r="D820" s="131"/>
      <c r="E820" s="129"/>
      <c r="F820" s="126"/>
      <c r="G820" s="127"/>
      <c r="H820" s="127"/>
      <c r="I820" s="127"/>
    </row>
    <row r="821" spans="1:9" x14ac:dyDescent="0.3">
      <c r="A821" s="127"/>
      <c r="B821" s="127"/>
      <c r="C821" s="126"/>
      <c r="D821" s="128"/>
      <c r="E821" s="129"/>
      <c r="F821" s="126"/>
      <c r="G821" s="127"/>
      <c r="H821" s="127"/>
      <c r="I821" s="127"/>
    </row>
    <row r="822" spans="1:9" x14ac:dyDescent="0.3">
      <c r="A822" s="126"/>
      <c r="B822" s="126"/>
      <c r="C822" s="126"/>
      <c r="D822" s="126"/>
      <c r="E822" s="126"/>
      <c r="F822" s="126"/>
      <c r="G822" s="127"/>
      <c r="H822" s="127"/>
      <c r="I822" s="127"/>
    </row>
    <row r="823" spans="1:9" x14ac:dyDescent="0.3">
      <c r="A823" s="126"/>
      <c r="B823" s="126"/>
      <c r="C823" s="126"/>
      <c r="D823" s="126"/>
      <c r="E823" s="126"/>
      <c r="F823" s="126"/>
      <c r="G823" s="127"/>
      <c r="H823" s="127"/>
      <c r="I823" s="127"/>
    </row>
    <row r="824" spans="1:9" x14ac:dyDescent="0.3">
      <c r="A824" s="126"/>
      <c r="B824" s="126"/>
      <c r="C824" s="126"/>
      <c r="D824" s="126"/>
      <c r="E824" s="126"/>
      <c r="F824" s="126"/>
      <c r="G824" s="127"/>
      <c r="H824" s="127"/>
      <c r="I824" s="127"/>
    </row>
    <row r="825" spans="1:9" x14ac:dyDescent="0.3">
      <c r="A825" s="126"/>
      <c r="B825" s="126"/>
      <c r="C825" s="126"/>
      <c r="D825" s="126"/>
      <c r="E825" s="126"/>
      <c r="F825" s="126"/>
      <c r="G825" s="127"/>
      <c r="H825" s="127"/>
      <c r="I825" s="127"/>
    </row>
    <row r="826" spans="1:9" x14ac:dyDescent="0.3">
      <c r="A826" s="130"/>
      <c r="B826" s="130"/>
      <c r="C826" s="130"/>
      <c r="D826" s="130"/>
      <c r="E826" s="126"/>
      <c r="F826" s="126"/>
      <c r="G826" s="127"/>
      <c r="H826" s="127"/>
      <c r="I826" s="127"/>
    </row>
    <row r="827" spans="1:9" x14ac:dyDescent="0.3">
      <c r="A827" s="125"/>
      <c r="B827" s="125"/>
      <c r="C827" s="125"/>
      <c r="D827" s="125"/>
      <c r="E827" s="126"/>
      <c r="F827" s="126"/>
      <c r="G827" s="127"/>
      <c r="H827" s="127"/>
      <c r="I827" s="127"/>
    </row>
    <row r="828" spans="1:9" x14ac:dyDescent="0.3">
      <c r="A828" s="126"/>
      <c r="B828" s="126"/>
      <c r="C828" s="126"/>
      <c r="D828" s="128"/>
      <c r="E828" s="129"/>
      <c r="F828" s="126"/>
      <c r="G828" s="127"/>
      <c r="H828" s="127"/>
      <c r="I828" s="127"/>
    </row>
    <row r="829" spans="1:9" x14ac:dyDescent="0.3">
      <c r="A829" s="126"/>
      <c r="B829" s="126"/>
      <c r="C829" s="126"/>
      <c r="D829" s="126"/>
      <c r="E829" s="126"/>
      <c r="F829" s="126"/>
      <c r="G829" s="127"/>
      <c r="H829" s="127"/>
      <c r="I829" s="127"/>
    </row>
    <row r="830" spans="1:9" x14ac:dyDescent="0.3">
      <c r="A830" s="126"/>
      <c r="B830" s="126"/>
      <c r="C830" s="126"/>
      <c r="D830" s="126"/>
      <c r="E830" s="126"/>
      <c r="F830" s="126"/>
      <c r="G830" s="127"/>
      <c r="H830" s="127"/>
      <c r="I830" s="127"/>
    </row>
    <row r="831" spans="1:9" x14ac:dyDescent="0.3">
      <c r="A831" s="126"/>
      <c r="B831" s="126"/>
      <c r="C831" s="126"/>
      <c r="D831" s="126"/>
      <c r="E831" s="126"/>
      <c r="F831" s="126"/>
      <c r="G831" s="127"/>
      <c r="H831" s="127"/>
      <c r="I831" s="127"/>
    </row>
    <row r="832" spans="1:9" x14ac:dyDescent="0.3">
      <c r="A832" s="126"/>
      <c r="B832" s="126"/>
      <c r="C832" s="126"/>
      <c r="D832" s="126"/>
      <c r="E832" s="126"/>
      <c r="F832" s="126"/>
      <c r="G832" s="127"/>
      <c r="H832" s="127"/>
      <c r="I832" s="127"/>
    </row>
    <row r="833" spans="1:9" x14ac:dyDescent="0.3">
      <c r="A833" s="130"/>
      <c r="B833" s="130"/>
      <c r="C833" s="130"/>
      <c r="D833" s="130"/>
      <c r="E833" s="126"/>
      <c r="F833" s="126"/>
      <c r="G833" s="127"/>
      <c r="H833" s="127"/>
      <c r="I833" s="127"/>
    </row>
    <row r="834" spans="1:9" x14ac:dyDescent="0.3">
      <c r="A834" s="136"/>
      <c r="B834" s="125"/>
      <c r="C834" s="125"/>
      <c r="D834" s="125"/>
      <c r="E834" s="126"/>
      <c r="F834" s="126"/>
      <c r="G834" s="127"/>
      <c r="H834" s="127"/>
      <c r="I834" s="127"/>
    </row>
    <row r="835" spans="1:9" x14ac:dyDescent="0.3">
      <c r="A835" s="136"/>
      <c r="B835" s="125"/>
      <c r="C835" s="125"/>
      <c r="D835" s="125"/>
      <c r="E835" s="126"/>
      <c r="F835" s="126"/>
      <c r="G835" s="127"/>
      <c r="H835" s="127"/>
      <c r="I835" s="127"/>
    </row>
    <row r="836" spans="1:9" x14ac:dyDescent="0.3">
      <c r="A836" s="136"/>
      <c r="B836" s="125"/>
      <c r="C836" s="125"/>
      <c r="D836" s="125"/>
      <c r="E836" s="126"/>
      <c r="F836" s="126"/>
      <c r="G836" s="127"/>
      <c r="H836" s="127"/>
      <c r="I836" s="127"/>
    </row>
    <row r="837" spans="1:9" x14ac:dyDescent="0.3">
      <c r="A837" s="126"/>
      <c r="B837" s="126"/>
      <c r="C837" s="126"/>
      <c r="D837" s="128"/>
      <c r="E837" s="129"/>
      <c r="F837" s="126"/>
      <c r="G837" s="127"/>
      <c r="H837" s="127"/>
      <c r="I837" s="127"/>
    </row>
    <row r="838" spans="1:9" x14ac:dyDescent="0.3">
      <c r="A838" s="126"/>
      <c r="B838" s="126"/>
      <c r="C838" s="126"/>
      <c r="D838" s="126"/>
      <c r="E838" s="126"/>
      <c r="F838" s="126"/>
      <c r="G838" s="127"/>
      <c r="H838" s="127"/>
      <c r="I838" s="127"/>
    </row>
    <row r="839" spans="1:9" x14ac:dyDescent="0.3">
      <c r="A839" s="126"/>
      <c r="B839" s="126"/>
      <c r="C839" s="126"/>
      <c r="D839" s="126"/>
      <c r="E839" s="126"/>
      <c r="F839" s="126"/>
      <c r="G839" s="127"/>
      <c r="H839" s="127"/>
      <c r="I839" s="127"/>
    </row>
    <row r="840" spans="1:9" x14ac:dyDescent="0.3">
      <c r="A840" s="126"/>
      <c r="B840" s="126"/>
      <c r="C840" s="126"/>
      <c r="D840" s="126"/>
      <c r="E840" s="126"/>
      <c r="F840" s="126"/>
      <c r="G840" s="127"/>
      <c r="H840" s="127"/>
      <c r="I840" s="127"/>
    </row>
    <row r="841" spans="1:9" x14ac:dyDescent="0.3">
      <c r="A841" s="126"/>
      <c r="B841" s="126"/>
      <c r="C841" s="126"/>
      <c r="D841" s="126"/>
      <c r="E841" s="126"/>
      <c r="F841" s="126"/>
      <c r="G841" s="127"/>
      <c r="H841" s="127"/>
      <c r="I841" s="127"/>
    </row>
    <row r="842" spans="1:9" x14ac:dyDescent="0.3">
      <c r="A842" s="126"/>
      <c r="B842" s="126"/>
      <c r="C842" s="126"/>
      <c r="D842" s="126"/>
      <c r="E842" s="126"/>
      <c r="F842" s="126"/>
      <c r="G842" s="127"/>
      <c r="H842" s="127"/>
      <c r="I842" s="127"/>
    </row>
    <row r="843" spans="1:9" x14ac:dyDescent="0.3">
      <c r="A843" s="130"/>
      <c r="B843" s="129"/>
      <c r="C843" s="126"/>
      <c r="D843" s="126"/>
      <c r="E843" s="126"/>
      <c r="F843" s="126"/>
      <c r="G843" s="127"/>
      <c r="H843" s="127"/>
      <c r="I843" s="127"/>
    </row>
    <row r="844" spans="1:9" x14ac:dyDescent="0.3">
      <c r="A844" s="131"/>
      <c r="B844" s="129"/>
      <c r="C844" s="126"/>
      <c r="D844" s="126"/>
      <c r="E844" s="126"/>
      <c r="F844" s="126"/>
      <c r="G844" s="127"/>
      <c r="H844" s="127"/>
      <c r="I844" s="127"/>
    </row>
    <row r="845" spans="1:9" x14ac:dyDescent="0.3">
      <c r="A845" s="131"/>
      <c r="B845" s="127"/>
      <c r="C845" s="126"/>
      <c r="D845" s="126"/>
      <c r="E845" s="126"/>
      <c r="F845" s="126"/>
      <c r="G845" s="127"/>
      <c r="H845" s="127"/>
      <c r="I845" s="127"/>
    </row>
    <row r="846" spans="1:9" x14ac:dyDescent="0.3">
      <c r="A846" s="131"/>
      <c r="B846" s="127"/>
      <c r="C846" s="126"/>
      <c r="D846" s="126"/>
      <c r="E846" s="126"/>
      <c r="F846" s="126"/>
      <c r="G846" s="127"/>
      <c r="H846" s="127"/>
      <c r="I846" s="127"/>
    </row>
    <row r="847" spans="1:9" x14ac:dyDescent="0.3">
      <c r="A847" s="128"/>
      <c r="B847" s="129"/>
      <c r="C847" s="126"/>
      <c r="D847" s="126"/>
      <c r="E847" s="126"/>
      <c r="F847" s="126"/>
      <c r="G847" s="127"/>
      <c r="H847" s="127"/>
      <c r="I847" s="127"/>
    </row>
    <row r="848" spans="1:9" x14ac:dyDescent="0.3">
      <c r="A848" s="126"/>
      <c r="B848" s="126"/>
      <c r="C848" s="126"/>
      <c r="D848" s="126"/>
      <c r="E848" s="126"/>
      <c r="F848" s="126"/>
      <c r="G848" s="127"/>
      <c r="H848" s="127"/>
      <c r="I848" s="127"/>
    </row>
    <row r="849" spans="1:9" x14ac:dyDescent="0.3">
      <c r="A849" s="126"/>
      <c r="B849" s="126"/>
      <c r="C849" s="126"/>
      <c r="D849" s="126"/>
      <c r="E849" s="126"/>
      <c r="F849" s="126"/>
      <c r="G849" s="127"/>
      <c r="H849" s="127"/>
      <c r="I849" s="127"/>
    </row>
    <row r="850" spans="1:9" x14ac:dyDescent="0.3">
      <c r="A850" s="126"/>
      <c r="B850" s="126"/>
      <c r="C850" s="126"/>
      <c r="D850" s="126"/>
      <c r="E850" s="126"/>
      <c r="F850" s="126"/>
      <c r="G850" s="127"/>
      <c r="H850" s="127"/>
      <c r="I850" s="127"/>
    </row>
    <row r="851" spans="1:9" x14ac:dyDescent="0.3">
      <c r="A851" s="126"/>
      <c r="B851" s="126"/>
      <c r="C851" s="126"/>
      <c r="D851" s="126"/>
      <c r="E851" s="126"/>
      <c r="F851" s="126"/>
      <c r="G851" s="127"/>
      <c r="H851" s="127"/>
      <c r="I851" s="127"/>
    </row>
    <row r="852" spans="1:9" x14ac:dyDescent="0.3">
      <c r="A852" s="137"/>
      <c r="B852" s="137"/>
      <c r="C852" s="128"/>
      <c r="D852" s="129"/>
      <c r="E852" s="126"/>
      <c r="F852" s="126"/>
      <c r="G852" s="127"/>
      <c r="H852" s="127"/>
      <c r="I852" s="127"/>
    </row>
    <row r="853" spans="1:9" x14ac:dyDescent="0.3">
      <c r="A853" s="126"/>
      <c r="B853" s="126"/>
      <c r="C853" s="126"/>
      <c r="D853" s="126"/>
      <c r="E853" s="126"/>
      <c r="F853" s="126"/>
      <c r="G853" s="127"/>
      <c r="H853" s="127"/>
      <c r="I853" s="127"/>
    </row>
    <row r="854" spans="1:9" x14ac:dyDescent="0.3">
      <c r="A854" s="126"/>
      <c r="B854" s="126"/>
      <c r="C854" s="126"/>
      <c r="D854" s="126"/>
      <c r="E854" s="126"/>
      <c r="F854" s="126"/>
      <c r="G854" s="127"/>
      <c r="H854" s="127"/>
      <c r="I854" s="127"/>
    </row>
    <row r="855" spans="1:9" x14ac:dyDescent="0.3">
      <c r="A855" s="135"/>
      <c r="B855" s="135"/>
      <c r="C855" s="135"/>
      <c r="D855" s="135"/>
      <c r="E855" s="135"/>
      <c r="F855" s="135"/>
      <c r="G855" s="135"/>
      <c r="H855" s="127"/>
      <c r="I855" s="127"/>
    </row>
    <row r="856" spans="1:9" x14ac:dyDescent="0.3">
      <c r="A856" s="135"/>
      <c r="B856" s="135"/>
      <c r="C856" s="135"/>
      <c r="D856" s="135"/>
      <c r="E856" s="135"/>
      <c r="F856" s="135"/>
      <c r="G856" s="135"/>
      <c r="H856" s="127"/>
      <c r="I856" s="127"/>
    </row>
    <row r="857" spans="1:9" x14ac:dyDescent="0.3">
      <c r="A857" s="126"/>
      <c r="B857" s="126"/>
      <c r="C857" s="126"/>
      <c r="D857" s="126"/>
      <c r="E857" s="126"/>
      <c r="F857" s="126"/>
      <c r="G857" s="127"/>
      <c r="H857" s="127"/>
      <c r="I857" s="127"/>
    </row>
    <row r="858" spans="1:9" x14ac:dyDescent="0.3">
      <c r="A858" s="130"/>
      <c r="B858" s="126"/>
      <c r="C858" s="126"/>
      <c r="D858" s="126"/>
      <c r="E858" s="126"/>
      <c r="F858" s="126"/>
      <c r="G858" s="127"/>
      <c r="H858" s="127"/>
      <c r="I858" s="127"/>
    </row>
    <row r="859" spans="1:9" x14ac:dyDescent="0.3">
      <c r="A859" s="125"/>
      <c r="B859" s="126"/>
      <c r="C859" s="126"/>
      <c r="D859" s="126"/>
      <c r="E859" s="126"/>
      <c r="F859" s="126"/>
      <c r="G859" s="127"/>
      <c r="H859" s="127"/>
      <c r="I859" s="127"/>
    </row>
    <row r="860" spans="1:9" x14ac:dyDescent="0.3">
      <c r="A860" s="125"/>
      <c r="B860" s="126"/>
      <c r="C860" s="126"/>
      <c r="D860" s="126"/>
      <c r="E860" s="126"/>
      <c r="F860" s="126"/>
      <c r="G860" s="127"/>
      <c r="H860" s="127"/>
      <c r="I860" s="127"/>
    </row>
    <row r="861" spans="1:9" x14ac:dyDescent="0.3">
      <c r="A861" s="125"/>
      <c r="B861" s="126"/>
      <c r="C861" s="126"/>
      <c r="D861" s="126"/>
      <c r="E861" s="126"/>
      <c r="F861" s="126"/>
      <c r="G861" s="127"/>
      <c r="H861" s="127"/>
      <c r="I861" s="127"/>
    </row>
    <row r="862" spans="1:9" x14ac:dyDescent="0.3">
      <c r="A862" s="128"/>
      <c r="B862" s="129"/>
      <c r="C862" s="126"/>
      <c r="D862" s="126"/>
      <c r="E862" s="126"/>
      <c r="F862" s="126"/>
      <c r="G862" s="127"/>
      <c r="H862" s="127"/>
      <c r="I862" s="127"/>
    </row>
    <row r="863" spans="1:9" x14ac:dyDescent="0.3">
      <c r="A863" s="126"/>
      <c r="B863" s="126"/>
      <c r="C863" s="126"/>
      <c r="D863" s="126"/>
      <c r="E863" s="126"/>
      <c r="F863" s="126"/>
      <c r="G863" s="127"/>
      <c r="H863" s="127"/>
      <c r="I863" s="127"/>
    </row>
    <row r="864" spans="1:9" x14ac:dyDescent="0.3">
      <c r="A864" s="126"/>
      <c r="B864" s="126"/>
      <c r="C864" s="126"/>
      <c r="D864" s="126"/>
      <c r="E864" s="126"/>
      <c r="F864" s="126"/>
      <c r="G864" s="127"/>
      <c r="H864" s="127"/>
      <c r="I864" s="127"/>
    </row>
    <row r="865" spans="1:9" x14ac:dyDescent="0.3">
      <c r="A865" s="126"/>
      <c r="B865" s="126"/>
      <c r="C865" s="126"/>
      <c r="D865" s="126"/>
      <c r="E865" s="126"/>
      <c r="F865" s="126"/>
      <c r="G865" s="127"/>
      <c r="H865" s="127"/>
      <c r="I865" s="127"/>
    </row>
    <row r="866" spans="1:9" x14ac:dyDescent="0.3">
      <c r="A866" s="126"/>
      <c r="B866" s="126"/>
      <c r="C866" s="126"/>
      <c r="D866" s="126"/>
      <c r="E866" s="126"/>
      <c r="F866" s="126"/>
      <c r="G866" s="127"/>
      <c r="H866" s="127"/>
      <c r="I866" s="127"/>
    </row>
    <row r="867" spans="1:9" x14ac:dyDescent="0.3">
      <c r="A867" s="130"/>
      <c r="B867" s="130"/>
      <c r="C867" s="130"/>
      <c r="D867" s="130"/>
      <c r="E867" s="126"/>
      <c r="F867" s="126"/>
      <c r="G867" s="127"/>
      <c r="H867" s="127"/>
      <c r="I867" s="127"/>
    </row>
    <row r="868" spans="1:9" x14ac:dyDescent="0.3">
      <c r="A868" s="131"/>
      <c r="B868" s="127"/>
      <c r="C868" s="126"/>
      <c r="D868" s="126"/>
      <c r="E868" s="126"/>
      <c r="F868" s="126"/>
      <c r="G868" s="127"/>
      <c r="H868" s="127"/>
      <c r="I868" s="127"/>
    </row>
    <row r="869" spans="1:9" x14ac:dyDescent="0.3">
      <c r="A869" s="131"/>
      <c r="B869" s="127"/>
      <c r="C869" s="126"/>
      <c r="D869" s="126"/>
      <c r="E869" s="126"/>
      <c r="F869" s="126"/>
      <c r="G869" s="127"/>
      <c r="H869" s="127"/>
      <c r="I869" s="127"/>
    </row>
    <row r="870" spans="1:9" x14ac:dyDescent="0.3">
      <c r="A870" s="128"/>
      <c r="B870" s="129"/>
      <c r="C870" s="126"/>
      <c r="D870" s="126"/>
      <c r="E870" s="126"/>
      <c r="F870" s="126"/>
      <c r="G870" s="127"/>
      <c r="H870" s="127"/>
      <c r="I870" s="127"/>
    </row>
    <row r="871" spans="1:9" x14ac:dyDescent="0.3">
      <c r="A871" s="126"/>
      <c r="B871" s="126"/>
      <c r="C871" s="126"/>
      <c r="D871" s="126"/>
      <c r="E871" s="126"/>
      <c r="F871" s="126"/>
      <c r="G871" s="127"/>
      <c r="H871" s="127"/>
      <c r="I871" s="127"/>
    </row>
    <row r="872" spans="1:9" x14ac:dyDescent="0.3">
      <c r="A872" s="126"/>
      <c r="B872" s="126"/>
      <c r="C872" s="126"/>
      <c r="D872" s="126"/>
      <c r="E872" s="126"/>
      <c r="F872" s="126"/>
      <c r="G872" s="127"/>
      <c r="H872" s="127"/>
      <c r="I872" s="127"/>
    </row>
    <row r="873" spans="1:9" x14ac:dyDescent="0.3">
      <c r="A873" s="126"/>
      <c r="B873" s="126"/>
      <c r="C873" s="126"/>
      <c r="D873" s="126"/>
      <c r="E873" s="126"/>
      <c r="F873" s="126"/>
      <c r="G873" s="127"/>
      <c r="H873" s="127"/>
      <c r="I873" s="127"/>
    </row>
    <row r="874" spans="1:9" x14ac:dyDescent="0.3">
      <c r="A874" s="126"/>
      <c r="B874" s="126"/>
      <c r="C874" s="126"/>
      <c r="D874" s="126"/>
      <c r="E874" s="126"/>
      <c r="F874" s="126"/>
      <c r="G874" s="127"/>
      <c r="H874" s="127"/>
      <c r="I874" s="127"/>
    </row>
    <row r="875" spans="1:9" x14ac:dyDescent="0.3">
      <c r="A875" s="130"/>
      <c r="B875" s="130"/>
      <c r="C875" s="130"/>
      <c r="D875" s="130"/>
      <c r="E875" s="126"/>
      <c r="F875" s="126"/>
      <c r="G875" s="127"/>
      <c r="H875" s="127"/>
      <c r="I875" s="127"/>
    </row>
    <row r="876" spans="1:9" x14ac:dyDescent="0.3">
      <c r="A876" s="131"/>
      <c r="B876" s="131"/>
      <c r="C876" s="131"/>
      <c r="D876" s="131"/>
      <c r="E876" s="126"/>
      <c r="F876" s="126"/>
      <c r="G876" s="127"/>
      <c r="H876" s="127"/>
      <c r="I876" s="127"/>
    </row>
    <row r="877" spans="1:9" x14ac:dyDescent="0.3">
      <c r="A877" s="131"/>
      <c r="B877" s="131"/>
      <c r="C877" s="131"/>
      <c r="D877" s="131"/>
      <c r="E877" s="126"/>
      <c r="F877" s="126"/>
      <c r="G877" s="127"/>
      <c r="H877" s="127"/>
      <c r="I877" s="127"/>
    </row>
    <row r="878" spans="1:9" x14ac:dyDescent="0.3">
      <c r="A878" s="131"/>
      <c r="B878" s="131"/>
      <c r="C878" s="131"/>
      <c r="D878" s="128"/>
      <c r="E878" s="129"/>
      <c r="F878" s="126"/>
      <c r="G878" s="127"/>
      <c r="H878" s="127"/>
      <c r="I878" s="127"/>
    </row>
    <row r="879" spans="1:9" x14ac:dyDescent="0.3">
      <c r="A879" s="126"/>
      <c r="B879" s="126"/>
      <c r="C879" s="126"/>
      <c r="D879" s="126"/>
      <c r="E879" s="126"/>
      <c r="F879" s="126"/>
      <c r="G879" s="127"/>
      <c r="H879" s="127"/>
      <c r="I879" s="127"/>
    </row>
    <row r="880" spans="1:9" x14ac:dyDescent="0.3">
      <c r="A880" s="126"/>
      <c r="B880" s="126"/>
      <c r="C880" s="126"/>
      <c r="D880" s="126"/>
      <c r="E880" s="126"/>
      <c r="F880" s="126"/>
      <c r="G880" s="127"/>
      <c r="H880" s="127"/>
      <c r="I880" s="127"/>
    </row>
    <row r="881" spans="1:9" x14ac:dyDescent="0.3">
      <c r="A881" s="126"/>
      <c r="B881" s="126"/>
      <c r="C881" s="126"/>
      <c r="D881" s="126"/>
      <c r="E881" s="126"/>
      <c r="F881" s="126"/>
      <c r="G881" s="127"/>
      <c r="H881" s="127"/>
      <c r="I881" s="127"/>
    </row>
    <row r="882" spans="1:9" x14ac:dyDescent="0.3">
      <c r="A882" s="126"/>
      <c r="B882" s="126"/>
      <c r="C882" s="126"/>
      <c r="D882" s="126"/>
      <c r="E882" s="126"/>
      <c r="F882" s="126"/>
      <c r="G882" s="127"/>
      <c r="H882" s="127"/>
      <c r="I882" s="127"/>
    </row>
    <row r="883" spans="1:9" x14ac:dyDescent="0.3">
      <c r="A883" s="130"/>
      <c r="B883" s="126"/>
      <c r="C883" s="126"/>
      <c r="D883" s="126"/>
      <c r="E883" s="126"/>
      <c r="F883" s="126"/>
      <c r="G883" s="127"/>
      <c r="H883" s="127"/>
      <c r="I883" s="127"/>
    </row>
    <row r="884" spans="1:9" x14ac:dyDescent="0.3">
      <c r="A884" s="131"/>
      <c r="B884" s="126"/>
      <c r="C884" s="126"/>
      <c r="D884" s="126"/>
      <c r="E884" s="126"/>
      <c r="F884" s="126"/>
      <c r="G884" s="127"/>
      <c r="H884" s="127"/>
      <c r="I884" s="127"/>
    </row>
    <row r="885" spans="1:9" x14ac:dyDescent="0.3">
      <c r="A885" s="128"/>
      <c r="B885" s="129"/>
      <c r="C885" s="126"/>
      <c r="D885" s="126"/>
      <c r="E885" s="126"/>
      <c r="F885" s="126"/>
      <c r="G885" s="127"/>
      <c r="H885" s="127"/>
      <c r="I885" s="127"/>
    </row>
    <row r="886" spans="1:9" x14ac:dyDescent="0.3">
      <c r="A886" s="126"/>
      <c r="B886" s="126"/>
      <c r="C886" s="126"/>
      <c r="D886" s="126"/>
      <c r="E886" s="126"/>
      <c r="F886" s="126"/>
      <c r="G886" s="127"/>
      <c r="H886" s="127"/>
      <c r="I886" s="127"/>
    </row>
    <row r="887" spans="1:9" x14ac:dyDescent="0.3">
      <c r="A887" s="126"/>
      <c r="B887" s="126"/>
      <c r="C887" s="126"/>
      <c r="D887" s="126"/>
      <c r="E887" s="126"/>
      <c r="F887" s="126"/>
      <c r="G887" s="127"/>
      <c r="H887" s="127"/>
      <c r="I887" s="127"/>
    </row>
    <row r="888" spans="1:9" x14ac:dyDescent="0.3">
      <c r="A888" s="126"/>
      <c r="B888" s="126"/>
      <c r="C888" s="126"/>
      <c r="D888" s="126"/>
      <c r="E888" s="126"/>
      <c r="F888" s="126"/>
      <c r="G888" s="127"/>
      <c r="H888" s="127"/>
      <c r="I888" s="127"/>
    </row>
    <row r="889" spans="1:9" x14ac:dyDescent="0.3">
      <c r="A889" s="126"/>
      <c r="B889" s="126"/>
      <c r="C889" s="126"/>
      <c r="D889" s="126"/>
      <c r="E889" s="126"/>
      <c r="F889" s="126"/>
      <c r="G889" s="127"/>
      <c r="H889" s="127"/>
      <c r="I889" s="127"/>
    </row>
    <row r="890" spans="1:9" x14ac:dyDescent="0.3">
      <c r="A890" s="130"/>
      <c r="B890" s="130"/>
      <c r="C890" s="130"/>
      <c r="D890" s="130"/>
      <c r="E890" s="126"/>
      <c r="F890" s="126"/>
      <c r="G890" s="127"/>
      <c r="H890" s="127"/>
      <c r="I890" s="127"/>
    </row>
    <row r="891" spans="1:9" x14ac:dyDescent="0.3">
      <c r="A891" s="131"/>
      <c r="B891" s="131"/>
      <c r="C891" s="131"/>
      <c r="D891" s="131"/>
      <c r="E891" s="126"/>
      <c r="F891" s="126"/>
      <c r="G891" s="127"/>
      <c r="H891" s="127"/>
      <c r="I891" s="127"/>
    </row>
    <row r="892" spans="1:9" x14ac:dyDescent="0.3">
      <c r="A892" s="131"/>
      <c r="B892" s="131"/>
      <c r="C892" s="131"/>
      <c r="D892" s="131"/>
      <c r="E892" s="126"/>
      <c r="F892" s="126"/>
      <c r="G892" s="127"/>
      <c r="H892" s="127"/>
      <c r="I892" s="127"/>
    </row>
    <row r="893" spans="1:9" x14ac:dyDescent="0.3">
      <c r="A893" s="131"/>
      <c r="B893" s="131"/>
      <c r="C893" s="131"/>
      <c r="D893" s="131"/>
      <c r="E893" s="126"/>
      <c r="F893" s="126"/>
      <c r="G893" s="127"/>
      <c r="H893" s="127"/>
      <c r="I893" s="127"/>
    </row>
    <row r="894" spans="1:9" x14ac:dyDescent="0.3">
      <c r="A894" s="126"/>
      <c r="B894" s="126"/>
      <c r="C894" s="126"/>
      <c r="D894" s="128"/>
      <c r="E894" s="129"/>
      <c r="F894" s="126"/>
      <c r="G894" s="127"/>
      <c r="H894" s="127"/>
      <c r="I894" s="127"/>
    </row>
    <row r="895" spans="1:9" x14ac:dyDescent="0.3">
      <c r="A895" s="126"/>
      <c r="B895" s="126"/>
      <c r="C895" s="126"/>
      <c r="D895" s="126"/>
      <c r="E895" s="126"/>
      <c r="F895" s="126"/>
      <c r="G895" s="127"/>
      <c r="H895" s="127"/>
      <c r="I895" s="127"/>
    </row>
    <row r="896" spans="1:9" x14ac:dyDescent="0.3">
      <c r="A896" s="126"/>
      <c r="B896" s="126"/>
      <c r="C896" s="126"/>
      <c r="D896" s="126"/>
      <c r="E896" s="126"/>
      <c r="F896" s="126"/>
      <c r="G896" s="127"/>
      <c r="H896" s="127"/>
      <c r="I896" s="127"/>
    </row>
    <row r="897" spans="1:9" x14ac:dyDescent="0.3">
      <c r="A897" s="126"/>
      <c r="B897" s="126"/>
      <c r="C897" s="126"/>
      <c r="D897" s="126"/>
      <c r="E897" s="126"/>
      <c r="F897" s="126"/>
      <c r="G897" s="127"/>
      <c r="H897" s="127"/>
      <c r="I897" s="127"/>
    </row>
    <row r="898" spans="1:9" x14ac:dyDescent="0.3">
      <c r="A898" s="126"/>
      <c r="B898" s="126"/>
      <c r="C898" s="126"/>
      <c r="D898" s="126"/>
      <c r="E898" s="126"/>
      <c r="F898" s="126"/>
      <c r="G898" s="127"/>
      <c r="H898" s="127"/>
      <c r="I898" s="127"/>
    </row>
    <row r="899" spans="1:9" x14ac:dyDescent="0.3">
      <c r="A899" s="130"/>
      <c r="B899" s="126"/>
      <c r="C899" s="126"/>
      <c r="D899" s="126"/>
      <c r="E899" s="126"/>
      <c r="F899" s="126"/>
      <c r="G899" s="127"/>
      <c r="H899" s="127"/>
      <c r="I899" s="127"/>
    </row>
    <row r="900" spans="1:9" x14ac:dyDescent="0.3">
      <c r="A900" s="131"/>
      <c r="B900" s="126"/>
      <c r="C900" s="126"/>
      <c r="D900" s="126"/>
      <c r="E900" s="126"/>
      <c r="F900" s="126"/>
      <c r="G900" s="127"/>
      <c r="H900" s="127"/>
      <c r="I900" s="127"/>
    </row>
    <row r="901" spans="1:9" x14ac:dyDescent="0.3">
      <c r="A901" s="128"/>
      <c r="B901" s="129"/>
      <c r="C901" s="126"/>
      <c r="D901" s="126"/>
      <c r="E901" s="126"/>
      <c r="F901" s="126"/>
      <c r="G901" s="127"/>
      <c r="H901" s="127"/>
      <c r="I901" s="127"/>
    </row>
    <row r="902" spans="1:9" x14ac:dyDescent="0.3">
      <c r="A902" s="126"/>
      <c r="B902" s="126"/>
      <c r="C902" s="126"/>
      <c r="D902" s="126"/>
      <c r="E902" s="126"/>
      <c r="F902" s="126"/>
      <c r="G902" s="127"/>
      <c r="H902" s="127"/>
      <c r="I902" s="127"/>
    </row>
    <row r="903" spans="1:9" x14ac:dyDescent="0.3">
      <c r="A903" s="126"/>
      <c r="B903" s="126"/>
      <c r="C903" s="126"/>
      <c r="D903" s="126"/>
      <c r="E903" s="126"/>
      <c r="F903" s="126"/>
      <c r="G903" s="127"/>
      <c r="H903" s="127"/>
      <c r="I903" s="127"/>
    </row>
    <row r="904" spans="1:9" x14ac:dyDescent="0.3">
      <c r="A904" s="126"/>
      <c r="B904" s="126"/>
      <c r="C904" s="126"/>
      <c r="D904" s="126"/>
      <c r="E904" s="126"/>
      <c r="F904" s="126"/>
      <c r="G904" s="127"/>
      <c r="H904" s="127"/>
      <c r="I904" s="127"/>
    </row>
    <row r="905" spans="1:9" x14ac:dyDescent="0.3">
      <c r="A905" s="126"/>
      <c r="B905" s="126"/>
      <c r="C905" s="126"/>
      <c r="D905" s="126"/>
      <c r="E905" s="126"/>
      <c r="F905" s="126"/>
      <c r="G905" s="127"/>
      <c r="H905" s="127"/>
      <c r="I905" s="127"/>
    </row>
    <row r="906" spans="1:9" x14ac:dyDescent="0.3">
      <c r="A906" s="130"/>
      <c r="B906" s="126"/>
      <c r="C906" s="126"/>
      <c r="D906" s="126"/>
      <c r="E906" s="126"/>
      <c r="F906" s="126"/>
      <c r="G906" s="127"/>
      <c r="H906" s="127"/>
      <c r="I906" s="127"/>
    </row>
    <row r="907" spans="1:9" x14ac:dyDescent="0.3">
      <c r="A907" s="131"/>
      <c r="B907" s="126"/>
      <c r="C907" s="126"/>
      <c r="D907" s="126"/>
      <c r="E907" s="126"/>
      <c r="F907" s="126"/>
      <c r="G907" s="127"/>
      <c r="H907" s="127"/>
      <c r="I907" s="127"/>
    </row>
    <row r="908" spans="1:9" x14ac:dyDescent="0.3">
      <c r="A908" s="131"/>
      <c r="B908" s="126"/>
      <c r="C908" s="126"/>
      <c r="D908" s="126"/>
      <c r="E908" s="126"/>
      <c r="F908" s="126"/>
      <c r="G908" s="127"/>
      <c r="H908" s="127"/>
      <c r="I908" s="127"/>
    </row>
    <row r="909" spans="1:9" x14ac:dyDescent="0.3">
      <c r="A909" s="125"/>
      <c r="B909" s="126"/>
      <c r="C909" s="126"/>
      <c r="D909" s="126"/>
      <c r="E909" s="126"/>
      <c r="F909" s="126"/>
      <c r="G909" s="127"/>
      <c r="H909" s="127"/>
      <c r="I909" s="127"/>
    </row>
    <row r="910" spans="1:9" x14ac:dyDescent="0.3">
      <c r="A910" s="125"/>
      <c r="B910" s="126"/>
      <c r="C910" s="126"/>
      <c r="D910" s="126"/>
      <c r="E910" s="126"/>
      <c r="F910" s="126"/>
      <c r="G910" s="127"/>
      <c r="H910" s="127"/>
      <c r="I910" s="127"/>
    </row>
    <row r="911" spans="1:9" x14ac:dyDescent="0.3">
      <c r="A911" s="128"/>
      <c r="B911" s="129"/>
      <c r="C911" s="126"/>
      <c r="D911" s="126"/>
      <c r="E911" s="126"/>
      <c r="F911" s="126"/>
      <c r="G911" s="127"/>
      <c r="H911" s="127"/>
      <c r="I911" s="127"/>
    </row>
    <row r="912" spans="1:9" x14ac:dyDescent="0.3">
      <c r="A912" s="126"/>
      <c r="B912" s="126"/>
      <c r="C912" s="126"/>
      <c r="D912" s="126"/>
      <c r="E912" s="126"/>
      <c r="F912" s="126"/>
      <c r="G912" s="127"/>
      <c r="H912" s="127"/>
      <c r="I912" s="127"/>
    </row>
    <row r="913" spans="1:9" x14ac:dyDescent="0.3">
      <c r="A913" s="126"/>
      <c r="B913" s="126"/>
      <c r="C913" s="126"/>
      <c r="D913" s="126"/>
      <c r="E913" s="126"/>
      <c r="F913" s="126"/>
      <c r="G913" s="127"/>
      <c r="H913" s="127"/>
      <c r="I913" s="127"/>
    </row>
    <row r="914" spans="1:9" x14ac:dyDescent="0.3">
      <c r="A914" s="126"/>
      <c r="B914" s="126"/>
      <c r="C914" s="126"/>
      <c r="D914" s="126"/>
      <c r="E914" s="126"/>
      <c r="F914" s="126"/>
      <c r="G914" s="127"/>
      <c r="H914" s="127"/>
      <c r="I914" s="127"/>
    </row>
    <row r="915" spans="1:9" x14ac:dyDescent="0.3">
      <c r="A915" s="126"/>
      <c r="B915" s="126"/>
      <c r="C915" s="126"/>
      <c r="D915" s="126"/>
      <c r="E915" s="126"/>
      <c r="F915" s="126"/>
      <c r="G915" s="127"/>
      <c r="H915" s="127"/>
      <c r="I915" s="127"/>
    </row>
    <row r="916" spans="1:9" x14ac:dyDescent="0.3">
      <c r="A916" s="130"/>
      <c r="B916" s="126"/>
      <c r="C916" s="126"/>
      <c r="D916" s="126"/>
      <c r="E916" s="126"/>
      <c r="F916" s="126"/>
      <c r="G916" s="127"/>
      <c r="H916" s="127"/>
      <c r="I916" s="127"/>
    </row>
    <row r="917" spans="1:9" x14ac:dyDescent="0.3">
      <c r="A917" s="131"/>
      <c r="B917" s="126"/>
      <c r="C917" s="126"/>
      <c r="D917" s="126"/>
      <c r="E917" s="126"/>
      <c r="F917" s="126"/>
      <c r="G917" s="127"/>
      <c r="H917" s="127"/>
      <c r="I917" s="127"/>
    </row>
    <row r="918" spans="1:9" x14ac:dyDescent="0.3">
      <c r="A918" s="128"/>
      <c r="B918" s="129"/>
      <c r="C918" s="126"/>
      <c r="D918" s="126"/>
      <c r="E918" s="126"/>
      <c r="F918" s="126"/>
      <c r="G918" s="127"/>
      <c r="H918" s="127"/>
      <c r="I918" s="127"/>
    </row>
    <row r="919" spans="1:9" x14ac:dyDescent="0.3">
      <c r="A919" s="126"/>
      <c r="B919" s="126"/>
      <c r="C919" s="126"/>
      <c r="D919" s="126"/>
      <c r="E919" s="126"/>
      <c r="F919" s="126"/>
      <c r="G919" s="127"/>
      <c r="H919" s="127"/>
      <c r="I919" s="127"/>
    </row>
    <row r="920" spans="1:9" x14ac:dyDescent="0.3">
      <c r="A920" s="126"/>
      <c r="B920" s="126"/>
      <c r="C920" s="126"/>
      <c r="D920" s="126"/>
      <c r="E920" s="126"/>
      <c r="F920" s="126"/>
      <c r="G920" s="127"/>
      <c r="H920" s="127"/>
      <c r="I920" s="127"/>
    </row>
    <row r="921" spans="1:9" x14ac:dyDescent="0.3">
      <c r="A921" s="126"/>
      <c r="B921" s="126"/>
      <c r="C921" s="126"/>
      <c r="D921" s="126"/>
      <c r="E921" s="126"/>
      <c r="F921" s="126"/>
      <c r="G921" s="127"/>
      <c r="H921" s="127"/>
      <c r="I921" s="127"/>
    </row>
    <row r="922" spans="1:9" x14ac:dyDescent="0.3">
      <c r="A922" s="126"/>
      <c r="B922" s="126"/>
      <c r="C922" s="126"/>
      <c r="D922" s="126"/>
      <c r="E922" s="126"/>
      <c r="F922" s="126"/>
      <c r="G922" s="127"/>
      <c r="H922" s="127"/>
      <c r="I922" s="127"/>
    </row>
    <row r="923" spans="1:9" x14ac:dyDescent="0.3">
      <c r="A923" s="130"/>
      <c r="B923" s="126"/>
      <c r="C923" s="126"/>
      <c r="D923" s="126"/>
      <c r="E923" s="126"/>
      <c r="F923" s="126"/>
      <c r="G923" s="127"/>
      <c r="H923" s="127"/>
      <c r="I923" s="127"/>
    </row>
    <row r="924" spans="1:9" x14ac:dyDescent="0.3">
      <c r="A924" s="131"/>
      <c r="B924" s="126"/>
      <c r="C924" s="126"/>
      <c r="D924" s="126"/>
      <c r="E924" s="126"/>
      <c r="F924" s="126"/>
      <c r="G924" s="127"/>
      <c r="H924" s="127"/>
      <c r="I924" s="127"/>
    </row>
    <row r="925" spans="1:9" x14ac:dyDescent="0.3">
      <c r="A925" s="131"/>
      <c r="B925" s="126"/>
      <c r="C925" s="126"/>
      <c r="D925" s="126"/>
      <c r="E925" s="126"/>
      <c r="F925" s="126"/>
      <c r="G925" s="127"/>
      <c r="H925" s="127"/>
      <c r="I925" s="127"/>
    </row>
    <row r="926" spans="1:9" x14ac:dyDescent="0.3">
      <c r="A926" s="131"/>
      <c r="B926" s="126"/>
      <c r="C926" s="126"/>
      <c r="D926" s="126"/>
      <c r="E926" s="126"/>
      <c r="F926" s="126"/>
      <c r="G926" s="127"/>
      <c r="H926" s="127"/>
      <c r="I926" s="127"/>
    </row>
    <row r="927" spans="1:9" x14ac:dyDescent="0.3">
      <c r="A927" s="131"/>
      <c r="B927" s="126"/>
      <c r="C927" s="115"/>
      <c r="D927" s="126"/>
      <c r="E927" s="126"/>
      <c r="F927" s="126"/>
      <c r="G927" s="127"/>
      <c r="H927" s="127"/>
      <c r="I927" s="127"/>
    </row>
    <row r="928" spans="1:9" x14ac:dyDescent="0.3">
      <c r="A928" s="131"/>
      <c r="B928" s="126"/>
      <c r="C928" s="126"/>
      <c r="D928" s="126"/>
      <c r="E928" s="126"/>
      <c r="F928" s="126"/>
      <c r="G928" s="127"/>
      <c r="H928" s="127"/>
      <c r="I928" s="127"/>
    </row>
    <row r="929" spans="1:9" x14ac:dyDescent="0.3">
      <c r="A929" s="128"/>
      <c r="B929" s="129"/>
      <c r="C929" s="126"/>
      <c r="D929" s="126"/>
      <c r="E929" s="126"/>
      <c r="F929" s="126"/>
      <c r="G929" s="127"/>
      <c r="H929" s="127"/>
      <c r="I929" s="127"/>
    </row>
    <row r="930" spans="1:9" x14ac:dyDescent="0.3">
      <c r="A930" s="126"/>
      <c r="B930" s="126"/>
      <c r="C930" s="126"/>
      <c r="D930" s="126"/>
      <c r="E930" s="126"/>
      <c r="F930" s="126"/>
      <c r="G930" s="127"/>
      <c r="H930" s="127"/>
      <c r="I930" s="127"/>
    </row>
    <row r="931" spans="1:9" x14ac:dyDescent="0.3">
      <c r="A931" s="126"/>
      <c r="B931" s="126"/>
      <c r="C931" s="126"/>
      <c r="D931" s="126"/>
      <c r="E931" s="126"/>
      <c r="F931" s="126"/>
      <c r="G931" s="127"/>
      <c r="H931" s="127"/>
      <c r="I931" s="127"/>
    </row>
    <row r="932" spans="1:9" x14ac:dyDescent="0.3">
      <c r="A932" s="126"/>
      <c r="B932" s="126"/>
      <c r="C932" s="126"/>
      <c r="D932" s="126"/>
      <c r="E932" s="126"/>
      <c r="F932" s="126"/>
      <c r="G932" s="127"/>
      <c r="H932" s="127"/>
      <c r="I932" s="127"/>
    </row>
    <row r="933" spans="1:9" x14ac:dyDescent="0.3">
      <c r="A933" s="126"/>
      <c r="B933" s="126"/>
      <c r="C933" s="126"/>
      <c r="D933" s="126"/>
      <c r="E933" s="126"/>
      <c r="F933" s="126"/>
      <c r="G933" s="127"/>
      <c r="H933" s="127"/>
      <c r="I933" s="127"/>
    </row>
    <row r="934" spans="1:9" x14ac:dyDescent="0.3">
      <c r="A934" s="137"/>
      <c r="B934" s="137"/>
      <c r="C934" s="137"/>
      <c r="D934" s="128"/>
      <c r="E934" s="129"/>
      <c r="F934" s="126"/>
      <c r="G934" s="127"/>
      <c r="H934" s="127"/>
      <c r="I934" s="127"/>
    </row>
    <row r="935" spans="1:9" x14ac:dyDescent="0.3">
      <c r="A935" s="126"/>
      <c r="B935" s="126"/>
      <c r="C935" s="126"/>
      <c r="D935" s="126"/>
      <c r="E935" s="126"/>
      <c r="F935" s="126"/>
      <c r="G935" s="127"/>
      <c r="H935" s="127"/>
      <c r="I935" s="127"/>
    </row>
    <row r="936" spans="1:9" x14ac:dyDescent="0.3">
      <c r="A936" s="126"/>
      <c r="B936" s="126"/>
      <c r="C936" s="126"/>
      <c r="D936" s="126"/>
      <c r="E936" s="126"/>
      <c r="F936" s="126"/>
      <c r="G936" s="127"/>
      <c r="H936" s="127"/>
      <c r="I936" s="127"/>
    </row>
    <row r="937" spans="1:9" x14ac:dyDescent="0.3">
      <c r="A937" s="126"/>
      <c r="B937" s="126"/>
      <c r="C937" s="126"/>
      <c r="D937" s="126"/>
      <c r="E937" s="126"/>
      <c r="F937" s="126"/>
      <c r="G937" s="127"/>
      <c r="H937" s="127"/>
      <c r="I937" s="127"/>
    </row>
    <row r="938" spans="1:9" x14ac:dyDescent="0.3">
      <c r="A938" s="126"/>
      <c r="B938" s="126"/>
      <c r="C938" s="126"/>
      <c r="D938" s="126"/>
      <c r="E938" s="126"/>
      <c r="F938" s="126"/>
      <c r="G938" s="127"/>
      <c r="H938" s="127"/>
      <c r="I938" s="127"/>
    </row>
    <row r="939" spans="1:9" x14ac:dyDescent="0.3">
      <c r="A939" s="137"/>
      <c r="B939" s="137"/>
      <c r="C939" s="137"/>
      <c r="D939" s="137"/>
      <c r="E939" s="128"/>
      <c r="F939" s="129"/>
      <c r="G939" s="127"/>
      <c r="H939" s="127"/>
      <c r="I939" s="127"/>
    </row>
    <row r="940" spans="1:9" x14ac:dyDescent="0.3">
      <c r="A940" s="126"/>
      <c r="B940" s="126"/>
      <c r="C940" s="126"/>
      <c r="D940" s="126"/>
      <c r="E940" s="126"/>
      <c r="F940" s="126"/>
      <c r="G940" s="127"/>
      <c r="H940" s="127"/>
      <c r="I940" s="127"/>
    </row>
    <row r="941" spans="1:9" x14ac:dyDescent="0.3">
      <c r="A941" s="126"/>
      <c r="B941" s="126"/>
      <c r="C941" s="126"/>
      <c r="D941" s="126"/>
      <c r="E941" s="126"/>
      <c r="F941" s="126"/>
      <c r="G941" s="127"/>
      <c r="H941" s="127"/>
      <c r="I941" s="127"/>
    </row>
    <row r="942" spans="1:9" x14ac:dyDescent="0.3">
      <c r="A942" s="126"/>
      <c r="B942" s="126"/>
      <c r="C942" s="126"/>
      <c r="D942" s="126"/>
      <c r="E942" s="126"/>
      <c r="F942" s="126"/>
      <c r="G942" s="127"/>
      <c r="H942" s="127"/>
      <c r="I942" s="127"/>
    </row>
    <row r="943" spans="1:9" x14ac:dyDescent="0.3">
      <c r="A943" s="126"/>
      <c r="B943" s="126"/>
      <c r="C943" s="126"/>
      <c r="D943" s="126"/>
      <c r="E943" s="126"/>
      <c r="F943" s="126"/>
      <c r="G943" s="127"/>
      <c r="H943" s="127"/>
      <c r="I943" s="127"/>
    </row>
    <row r="944" spans="1:9" x14ac:dyDescent="0.3">
      <c r="A944" s="130"/>
      <c r="B944" s="126"/>
      <c r="C944" s="126"/>
      <c r="D944" s="126"/>
      <c r="E944" s="126"/>
      <c r="F944" s="126"/>
      <c r="G944" s="127"/>
      <c r="H944" s="127"/>
      <c r="I944" s="127"/>
    </row>
    <row r="945" spans="1:9" x14ac:dyDescent="0.3">
      <c r="A945" s="131"/>
      <c r="B945" s="126"/>
      <c r="C945" s="126"/>
      <c r="D945" s="126"/>
      <c r="E945" s="126"/>
      <c r="F945" s="126"/>
      <c r="G945" s="127"/>
      <c r="H945" s="127"/>
      <c r="I945" s="127"/>
    </row>
    <row r="946" spans="1:9" x14ac:dyDescent="0.3">
      <c r="A946" s="131"/>
      <c r="B946" s="126"/>
      <c r="C946" s="126"/>
      <c r="D946" s="126"/>
      <c r="E946" s="126"/>
      <c r="F946" s="126"/>
      <c r="G946" s="127"/>
      <c r="H946" s="127"/>
      <c r="I946" s="127"/>
    </row>
    <row r="947" spans="1:9" x14ac:dyDescent="0.3">
      <c r="A947" s="128"/>
      <c r="B947" s="129"/>
      <c r="C947" s="126"/>
      <c r="D947" s="126"/>
      <c r="E947" s="126"/>
      <c r="F947" s="126"/>
      <c r="G947" s="127"/>
      <c r="H947" s="127"/>
      <c r="I947" s="127"/>
    </row>
    <row r="948" spans="1:9" x14ac:dyDescent="0.3">
      <c r="A948" s="131"/>
      <c r="B948" s="126"/>
      <c r="C948" s="126"/>
      <c r="D948" s="126"/>
      <c r="E948" s="126"/>
      <c r="F948" s="126"/>
      <c r="G948" s="127"/>
      <c r="H948" s="127"/>
      <c r="I948" s="127"/>
    </row>
    <row r="949" spans="1:9" x14ac:dyDescent="0.3">
      <c r="A949" s="131"/>
      <c r="B949" s="126"/>
      <c r="C949" s="126"/>
      <c r="D949" s="126"/>
      <c r="E949" s="126"/>
      <c r="F949" s="126"/>
      <c r="G949" s="127"/>
      <c r="H949" s="127"/>
      <c r="I949" s="127"/>
    </row>
    <row r="950" spans="1:9" x14ac:dyDescent="0.3">
      <c r="A950" s="126"/>
      <c r="B950" s="126"/>
      <c r="C950" s="126"/>
      <c r="D950" s="126"/>
      <c r="E950" s="126"/>
      <c r="F950" s="126"/>
      <c r="G950" s="127"/>
      <c r="H950" s="127"/>
      <c r="I950" s="127"/>
    </row>
    <row r="951" spans="1:9" x14ac:dyDescent="0.3">
      <c r="A951" s="126"/>
      <c r="B951" s="126"/>
      <c r="C951" s="126"/>
      <c r="D951" s="126"/>
      <c r="E951" s="126"/>
      <c r="F951" s="126"/>
      <c r="G951" s="127"/>
      <c r="H951" s="127"/>
      <c r="I951" s="127"/>
    </row>
    <row r="952" spans="1:9" x14ac:dyDescent="0.3">
      <c r="A952" s="137"/>
      <c r="B952" s="137"/>
      <c r="C952" s="128"/>
      <c r="D952" s="129"/>
      <c r="E952" s="126"/>
      <c r="F952" s="126"/>
      <c r="G952" s="127"/>
      <c r="H952" s="127"/>
      <c r="I952" s="127"/>
    </row>
    <row r="953" spans="1:9" x14ac:dyDescent="0.3">
      <c r="A953" s="126"/>
      <c r="B953" s="126"/>
      <c r="C953" s="126"/>
      <c r="D953" s="126"/>
      <c r="E953" s="126"/>
      <c r="F953" s="126"/>
      <c r="G953" s="127"/>
      <c r="H953" s="127"/>
      <c r="I953" s="127"/>
    </row>
    <row r="954" spans="1:9" x14ac:dyDescent="0.3">
      <c r="A954" s="126"/>
      <c r="B954" s="126"/>
      <c r="C954" s="126"/>
      <c r="D954" s="126"/>
      <c r="E954" s="126"/>
      <c r="F954" s="126"/>
      <c r="G954" s="127"/>
      <c r="H954" s="127"/>
      <c r="I954" s="127"/>
    </row>
    <row r="955" spans="1:9" x14ac:dyDescent="0.3">
      <c r="A955" s="126"/>
      <c r="B955" s="126"/>
      <c r="C955" s="126"/>
      <c r="D955" s="126"/>
      <c r="E955" s="126"/>
      <c r="F955" s="126"/>
      <c r="G955" s="127"/>
      <c r="H955" s="127"/>
      <c r="I955" s="127"/>
    </row>
    <row r="956" spans="1:9" x14ac:dyDescent="0.3">
      <c r="A956" s="126"/>
      <c r="B956" s="126"/>
      <c r="C956" s="126"/>
      <c r="D956" s="126"/>
      <c r="E956" s="126"/>
      <c r="F956" s="126"/>
      <c r="G956" s="127"/>
      <c r="H956" s="127"/>
      <c r="I956" s="127"/>
    </row>
    <row r="957" spans="1:9" x14ac:dyDescent="0.3">
      <c r="A957" s="130"/>
      <c r="B957" s="126"/>
      <c r="C957" s="126"/>
      <c r="D957" s="126"/>
      <c r="E957" s="126"/>
      <c r="F957" s="126"/>
      <c r="G957" s="127"/>
      <c r="H957" s="127"/>
      <c r="I957" s="127"/>
    </row>
    <row r="958" spans="1:9" x14ac:dyDescent="0.3">
      <c r="A958" s="131"/>
      <c r="B958" s="126"/>
      <c r="C958" s="126"/>
      <c r="D958" s="126"/>
      <c r="E958" s="126"/>
      <c r="F958" s="126"/>
      <c r="G958" s="127"/>
      <c r="H958" s="127"/>
      <c r="I958" s="127"/>
    </row>
    <row r="959" spans="1:9" x14ac:dyDescent="0.3">
      <c r="A959" s="131"/>
      <c r="B959" s="126"/>
      <c r="C959" s="126"/>
      <c r="D959" s="126"/>
      <c r="E959" s="126"/>
      <c r="F959" s="126"/>
      <c r="G959" s="127"/>
      <c r="H959" s="127"/>
      <c r="I959" s="127"/>
    </row>
    <row r="960" spans="1:9" x14ac:dyDescent="0.3">
      <c r="A960" s="131"/>
      <c r="B960" s="126"/>
      <c r="C960" s="126"/>
      <c r="D960" s="126"/>
      <c r="E960" s="126"/>
      <c r="F960" s="126"/>
      <c r="G960" s="127"/>
      <c r="H960" s="127"/>
      <c r="I960" s="127"/>
    </row>
    <row r="961" spans="1:9" x14ac:dyDescent="0.3">
      <c r="A961" s="131"/>
      <c r="B961" s="126"/>
      <c r="C961" s="126"/>
      <c r="D961" s="126"/>
      <c r="E961" s="126"/>
      <c r="F961" s="126"/>
      <c r="G961" s="127"/>
      <c r="H961" s="127"/>
      <c r="I961" s="127"/>
    </row>
    <row r="962" spans="1:9" x14ac:dyDescent="0.3">
      <c r="A962" s="128"/>
      <c r="B962" s="129"/>
      <c r="C962" s="126"/>
      <c r="D962" s="126"/>
      <c r="E962" s="126"/>
      <c r="F962" s="126"/>
      <c r="G962" s="127"/>
      <c r="H962" s="127"/>
      <c r="I962" s="127"/>
    </row>
    <row r="963" spans="1:9" x14ac:dyDescent="0.3">
      <c r="A963" s="128"/>
      <c r="B963" s="129"/>
      <c r="C963" s="126"/>
      <c r="D963" s="126"/>
      <c r="E963" s="126"/>
      <c r="F963" s="126"/>
      <c r="G963" s="127"/>
      <c r="H963" s="127"/>
      <c r="I963" s="127"/>
    </row>
    <row r="964" spans="1:9" x14ac:dyDescent="0.3">
      <c r="A964" s="128"/>
      <c r="B964" s="129"/>
      <c r="C964" s="126"/>
      <c r="D964" s="126"/>
      <c r="E964" s="126"/>
      <c r="F964" s="126"/>
      <c r="G964" s="127"/>
      <c r="H964" s="127"/>
      <c r="I964" s="127"/>
    </row>
    <row r="965" spans="1:9" x14ac:dyDescent="0.3">
      <c r="A965" s="126"/>
      <c r="B965" s="126"/>
      <c r="C965" s="126"/>
      <c r="D965" s="126"/>
      <c r="E965" s="126"/>
      <c r="F965" s="126"/>
      <c r="G965" s="127"/>
      <c r="H965" s="127"/>
      <c r="I965" s="127"/>
    </row>
    <row r="966" spans="1:9" x14ac:dyDescent="0.3">
      <c r="A966" s="126"/>
      <c r="B966" s="126"/>
      <c r="C966" s="126"/>
      <c r="D966" s="126"/>
      <c r="E966" s="126"/>
      <c r="F966" s="126"/>
      <c r="G966" s="127"/>
      <c r="H966" s="127"/>
      <c r="I966" s="127"/>
    </row>
    <row r="967" spans="1:9" x14ac:dyDescent="0.3">
      <c r="A967" s="130"/>
      <c r="B967" s="126"/>
      <c r="C967" s="126"/>
      <c r="D967" s="126"/>
      <c r="E967" s="126"/>
      <c r="F967" s="126"/>
      <c r="G967" s="127"/>
      <c r="H967" s="127"/>
      <c r="I967" s="127"/>
    </row>
    <row r="968" spans="1:9" x14ac:dyDescent="0.3">
      <c r="A968" s="131"/>
      <c r="B968" s="126"/>
      <c r="C968" s="126"/>
      <c r="D968" s="126"/>
      <c r="E968" s="126"/>
      <c r="F968" s="126"/>
      <c r="G968" s="127"/>
      <c r="H968" s="127"/>
      <c r="I968" s="127"/>
    </row>
    <row r="969" spans="1:9" x14ac:dyDescent="0.3">
      <c r="A969" s="131"/>
      <c r="B969" s="126"/>
      <c r="C969" s="126"/>
      <c r="D969" s="126"/>
      <c r="E969" s="126"/>
      <c r="F969" s="126"/>
      <c r="G969" s="127"/>
      <c r="H969" s="127"/>
      <c r="I969" s="127"/>
    </row>
    <row r="970" spans="1:9" x14ac:dyDescent="0.3">
      <c r="A970" s="131"/>
      <c r="B970" s="126"/>
      <c r="C970" s="126"/>
      <c r="D970" s="126"/>
      <c r="E970" s="126"/>
      <c r="F970" s="126"/>
      <c r="G970" s="127"/>
      <c r="H970" s="127"/>
      <c r="I970" s="127"/>
    </row>
    <row r="971" spans="1:9" x14ac:dyDescent="0.3">
      <c r="A971" s="131"/>
      <c r="B971" s="126"/>
      <c r="C971" s="126"/>
      <c r="D971" s="126"/>
      <c r="E971" s="126"/>
      <c r="F971" s="126"/>
      <c r="G971" s="127"/>
      <c r="H971" s="127"/>
      <c r="I971" s="127"/>
    </row>
    <row r="972" spans="1:9" x14ac:dyDescent="0.3">
      <c r="A972" s="128"/>
      <c r="B972" s="129"/>
      <c r="C972" s="126"/>
      <c r="D972" s="126"/>
      <c r="E972" s="126"/>
      <c r="F972" s="126"/>
      <c r="G972" s="127"/>
      <c r="H972" s="127"/>
      <c r="I972" s="127"/>
    </row>
    <row r="973" spans="1:9" x14ac:dyDescent="0.3">
      <c r="A973" s="126"/>
      <c r="B973" s="126"/>
      <c r="C973" s="126"/>
      <c r="D973" s="126"/>
      <c r="E973" s="126"/>
      <c r="F973" s="126"/>
      <c r="G973" s="127"/>
      <c r="H973" s="127"/>
      <c r="I973" s="127"/>
    </row>
    <row r="974" spans="1:9" x14ac:dyDescent="0.3">
      <c r="A974" s="126"/>
      <c r="B974" s="126"/>
      <c r="C974" s="126"/>
      <c r="D974" s="126"/>
      <c r="E974" s="126"/>
      <c r="F974" s="126"/>
      <c r="G974" s="127"/>
      <c r="H974" s="127"/>
      <c r="I974" s="127"/>
    </row>
    <row r="975" spans="1:9" x14ac:dyDescent="0.3">
      <c r="A975" s="126"/>
      <c r="B975" s="126"/>
      <c r="C975" s="126"/>
      <c r="D975" s="126"/>
      <c r="E975" s="126"/>
      <c r="F975" s="126"/>
      <c r="G975" s="127"/>
      <c r="H975" s="127"/>
      <c r="I975" s="127"/>
    </row>
    <row r="976" spans="1:9" x14ac:dyDescent="0.3">
      <c r="A976" s="126"/>
      <c r="B976" s="126"/>
      <c r="C976" s="126"/>
      <c r="D976" s="126"/>
      <c r="E976" s="126"/>
      <c r="F976" s="126"/>
      <c r="G976" s="127"/>
      <c r="H976" s="127"/>
      <c r="I976" s="127"/>
    </row>
    <row r="977" spans="1:9" x14ac:dyDescent="0.3">
      <c r="A977" s="130"/>
      <c r="B977" s="126"/>
      <c r="C977" s="126"/>
      <c r="D977" s="126"/>
      <c r="E977" s="126"/>
      <c r="F977" s="126"/>
      <c r="G977" s="127"/>
      <c r="H977" s="127"/>
      <c r="I977" s="127"/>
    </row>
    <row r="978" spans="1:9" x14ac:dyDescent="0.3">
      <c r="A978" s="125"/>
      <c r="B978" s="126"/>
      <c r="C978" s="126"/>
      <c r="D978" s="126"/>
      <c r="E978" s="126"/>
      <c r="F978" s="126"/>
      <c r="G978" s="127"/>
      <c r="H978" s="127"/>
      <c r="I978" s="127"/>
    </row>
    <row r="979" spans="1:9" x14ac:dyDescent="0.3">
      <c r="A979" s="128"/>
      <c r="B979" s="129"/>
      <c r="C979" s="126"/>
      <c r="D979" s="126"/>
      <c r="E979" s="126"/>
      <c r="F979" s="126"/>
      <c r="G979" s="127"/>
      <c r="H979" s="127"/>
      <c r="I979" s="127"/>
    </row>
    <row r="980" spans="1:9" x14ac:dyDescent="0.3">
      <c r="A980" s="126"/>
      <c r="B980" s="126"/>
      <c r="C980" s="126"/>
      <c r="D980" s="126"/>
      <c r="E980" s="126"/>
      <c r="F980" s="126"/>
      <c r="G980" s="127"/>
      <c r="H980" s="127"/>
      <c r="I980" s="127"/>
    </row>
    <row r="981" spans="1:9" x14ac:dyDescent="0.3">
      <c r="A981" s="126"/>
      <c r="B981" s="126"/>
      <c r="C981" s="126"/>
      <c r="D981" s="126"/>
      <c r="E981" s="126"/>
      <c r="F981" s="126"/>
      <c r="G981" s="127"/>
      <c r="H981" s="127"/>
      <c r="I981" s="127"/>
    </row>
    <row r="982" spans="1:9" x14ac:dyDescent="0.3">
      <c r="A982" s="126"/>
      <c r="B982" s="126"/>
      <c r="C982" s="126"/>
      <c r="D982" s="126"/>
      <c r="E982" s="126"/>
      <c r="F982" s="126"/>
      <c r="G982" s="127"/>
      <c r="H982" s="127"/>
      <c r="I982" s="127"/>
    </row>
    <row r="983" spans="1:9" x14ac:dyDescent="0.3">
      <c r="A983" s="126"/>
      <c r="B983" s="126"/>
      <c r="C983" s="126"/>
      <c r="D983" s="126"/>
      <c r="E983" s="126"/>
      <c r="F983" s="126"/>
      <c r="G983" s="127"/>
      <c r="H983" s="127"/>
      <c r="I983" s="127"/>
    </row>
    <row r="984" spans="1:9" x14ac:dyDescent="0.3">
      <c r="A984" s="130"/>
      <c r="B984" s="126"/>
      <c r="C984" s="126"/>
      <c r="D984" s="126"/>
      <c r="E984" s="126"/>
      <c r="F984" s="126"/>
      <c r="G984" s="127"/>
      <c r="H984" s="127"/>
      <c r="I984" s="127"/>
    </row>
    <row r="985" spans="1:9" x14ac:dyDescent="0.3">
      <c r="A985" s="125"/>
      <c r="B985" s="126"/>
      <c r="C985" s="126"/>
      <c r="D985" s="126"/>
      <c r="E985" s="126"/>
      <c r="F985" s="126"/>
      <c r="G985" s="127"/>
      <c r="H985" s="127"/>
      <c r="I985" s="127"/>
    </row>
    <row r="986" spans="1:9" x14ac:dyDescent="0.3">
      <c r="A986" s="128"/>
      <c r="B986" s="129"/>
      <c r="C986" s="126"/>
      <c r="D986" s="126"/>
      <c r="E986" s="126"/>
      <c r="F986" s="126"/>
      <c r="G986" s="127"/>
      <c r="H986" s="127"/>
      <c r="I986" s="127"/>
    </row>
    <row r="987" spans="1:9" x14ac:dyDescent="0.3">
      <c r="A987" s="126"/>
      <c r="B987" s="126"/>
      <c r="C987" s="126"/>
      <c r="D987" s="126"/>
      <c r="E987" s="126"/>
      <c r="F987" s="126"/>
      <c r="G987" s="127"/>
      <c r="H987" s="127"/>
      <c r="I987" s="127"/>
    </row>
    <row r="988" spans="1:9" x14ac:dyDescent="0.3">
      <c r="A988" s="126"/>
      <c r="B988" s="126"/>
      <c r="C988" s="126"/>
      <c r="D988" s="126"/>
      <c r="E988" s="126"/>
      <c r="F988" s="126"/>
      <c r="G988" s="127"/>
      <c r="H988" s="127"/>
      <c r="I988" s="127"/>
    </row>
    <row r="989" spans="1:9" x14ac:dyDescent="0.3">
      <c r="A989" s="126"/>
      <c r="B989" s="126"/>
      <c r="C989" s="126"/>
      <c r="D989" s="126"/>
      <c r="E989" s="126"/>
      <c r="F989" s="126"/>
      <c r="G989" s="127"/>
      <c r="H989" s="127"/>
      <c r="I989" s="127"/>
    </row>
    <row r="990" spans="1:9" x14ac:dyDescent="0.3">
      <c r="A990" s="126"/>
      <c r="B990" s="126"/>
      <c r="C990" s="126"/>
      <c r="D990" s="126"/>
      <c r="E990" s="126"/>
      <c r="F990" s="126"/>
      <c r="G990" s="127"/>
      <c r="H990" s="127"/>
      <c r="I990" s="127"/>
    </row>
    <row r="991" spans="1:9" x14ac:dyDescent="0.3">
      <c r="A991" s="126"/>
      <c r="B991" s="126"/>
      <c r="C991" s="126"/>
      <c r="D991" s="126"/>
      <c r="E991" s="126"/>
      <c r="F991" s="126"/>
      <c r="G991" s="127"/>
      <c r="H991" s="127"/>
      <c r="I991" s="127"/>
    </row>
    <row r="992" spans="1:9" x14ac:dyDescent="0.3">
      <c r="A992" s="137"/>
      <c r="B992" s="137"/>
      <c r="C992" s="137"/>
      <c r="D992" s="128"/>
      <c r="E992" s="129"/>
      <c r="F992" s="126"/>
      <c r="G992" s="127"/>
      <c r="H992" s="127"/>
      <c r="I992" s="127"/>
    </row>
    <row r="993" spans="1:9" x14ac:dyDescent="0.3">
      <c r="A993" s="126"/>
      <c r="B993" s="126"/>
      <c r="C993" s="126"/>
      <c r="D993" s="126"/>
      <c r="E993" s="126"/>
      <c r="F993" s="126"/>
      <c r="G993" s="127"/>
      <c r="H993" s="127"/>
      <c r="I993" s="127"/>
    </row>
    <row r="994" spans="1:9" x14ac:dyDescent="0.3">
      <c r="A994" s="126"/>
      <c r="B994" s="126"/>
      <c r="C994" s="126"/>
      <c r="D994" s="126"/>
      <c r="E994" s="126"/>
      <c r="F994" s="126"/>
      <c r="G994" s="127"/>
      <c r="H994" s="127"/>
      <c r="I994" s="127"/>
    </row>
    <row r="995" spans="1:9" x14ac:dyDescent="0.3">
      <c r="A995" s="126"/>
      <c r="B995" s="126"/>
      <c r="C995" s="126"/>
      <c r="D995" s="126"/>
      <c r="E995" s="126"/>
      <c r="F995" s="126"/>
      <c r="G995" s="127"/>
      <c r="H995" s="127"/>
      <c r="I995" s="127"/>
    </row>
    <row r="996" spans="1:9" x14ac:dyDescent="0.3">
      <c r="A996" s="126"/>
      <c r="B996" s="126"/>
      <c r="C996" s="126"/>
      <c r="D996" s="126"/>
      <c r="E996" s="126"/>
      <c r="F996" s="126"/>
      <c r="G996" s="127"/>
      <c r="H996" s="127"/>
      <c r="I996" s="127"/>
    </row>
    <row r="997" spans="1:9" x14ac:dyDescent="0.3">
      <c r="A997" s="126"/>
      <c r="B997" s="126"/>
      <c r="C997" s="126"/>
      <c r="D997" s="126"/>
      <c r="E997" s="126"/>
      <c r="F997" s="126"/>
      <c r="G997" s="127"/>
      <c r="H997" s="127"/>
      <c r="I997" s="127"/>
    </row>
    <row r="998" spans="1:9" x14ac:dyDescent="0.3">
      <c r="A998" s="137"/>
      <c r="B998" s="137"/>
      <c r="C998" s="137"/>
      <c r="D998" s="127"/>
      <c r="E998" s="127"/>
      <c r="F998" s="126"/>
      <c r="G998" s="127"/>
      <c r="H998" s="127"/>
      <c r="I998" s="127"/>
    </row>
    <row r="999" spans="1:9" x14ac:dyDescent="0.3">
      <c r="A999" s="137"/>
      <c r="B999" s="137"/>
      <c r="C999" s="137"/>
      <c r="D999" s="127"/>
      <c r="E999" s="127"/>
      <c r="F999" s="126"/>
      <c r="G999" s="127"/>
      <c r="H999" s="127"/>
      <c r="I999" s="127"/>
    </row>
    <row r="1000" spans="1:9" x14ac:dyDescent="0.3">
      <c r="A1000" s="137"/>
      <c r="B1000" s="138"/>
      <c r="C1000" s="137"/>
      <c r="D1000" s="127"/>
      <c r="E1000" s="127"/>
      <c r="F1000" s="126"/>
      <c r="G1000" s="127"/>
      <c r="H1000" s="127"/>
      <c r="I1000" s="127"/>
    </row>
    <row r="1001" spans="1:9" x14ac:dyDescent="0.3">
      <c r="A1001" s="137"/>
      <c r="B1001" s="137"/>
      <c r="C1001" s="137"/>
      <c r="D1001" s="127"/>
      <c r="E1001" s="127"/>
      <c r="F1001" s="126"/>
      <c r="G1001" s="127"/>
      <c r="H1001" s="127"/>
      <c r="I1001" s="127"/>
    </row>
    <row r="1002" spans="1:9" x14ac:dyDescent="0.3">
      <c r="A1002" s="137"/>
      <c r="B1002" s="137"/>
      <c r="C1002" s="137"/>
      <c r="D1002" s="127"/>
      <c r="E1002" s="127"/>
      <c r="F1002" s="126"/>
      <c r="G1002" s="127"/>
      <c r="H1002" s="127"/>
      <c r="I1002" s="127"/>
    </row>
    <row r="1003" spans="1:9" x14ac:dyDescent="0.3">
      <c r="A1003" s="137"/>
      <c r="B1003" s="137"/>
      <c r="C1003" s="137"/>
      <c r="D1003" s="127"/>
      <c r="E1003" s="127"/>
      <c r="F1003" s="126"/>
      <c r="G1003" s="127"/>
      <c r="H1003" s="127"/>
      <c r="I1003" s="127"/>
    </row>
    <row r="1004" spans="1:9" x14ac:dyDescent="0.3">
      <c r="A1004" s="130"/>
      <c r="B1004" s="130"/>
      <c r="C1004" s="130"/>
      <c r="D1004" s="130"/>
      <c r="E1004" s="127"/>
      <c r="F1004" s="126"/>
      <c r="G1004" s="127"/>
      <c r="H1004" s="127"/>
      <c r="I1004" s="127"/>
    </row>
    <row r="1005" spans="1:9" x14ac:dyDescent="0.3">
      <c r="A1005" s="131"/>
      <c r="B1005" s="131"/>
      <c r="C1005" s="131"/>
      <c r="D1005" s="131"/>
      <c r="E1005" s="127"/>
      <c r="F1005" s="126"/>
      <c r="G1005" s="127"/>
      <c r="H1005" s="127"/>
      <c r="I1005" s="127"/>
    </row>
    <row r="1006" spans="1:9" x14ac:dyDescent="0.3">
      <c r="A1006" s="130"/>
      <c r="B1006" s="130"/>
      <c r="C1006" s="130"/>
      <c r="D1006" s="138"/>
      <c r="E1006" s="137"/>
      <c r="F1006" s="126"/>
      <c r="G1006" s="127"/>
      <c r="H1006" s="127"/>
      <c r="I1006" s="127"/>
    </row>
    <row r="1007" spans="1:9" x14ac:dyDescent="0.3">
      <c r="A1007" s="130"/>
      <c r="B1007" s="130"/>
      <c r="C1007" s="130"/>
      <c r="D1007" s="130"/>
      <c r="E1007" s="127"/>
      <c r="F1007" s="126"/>
      <c r="G1007" s="127"/>
      <c r="H1007" s="127"/>
      <c r="I1007" s="127"/>
    </row>
    <row r="1008" spans="1:9" x14ac:dyDescent="0.3">
      <c r="A1008" s="126"/>
      <c r="B1008" s="125"/>
      <c r="C1008" s="133"/>
      <c r="D1008" s="125"/>
      <c r="E1008" s="133"/>
      <c r="F1008" s="128"/>
      <c r="G1008" s="129"/>
      <c r="H1008" s="127"/>
      <c r="I1008" s="127"/>
    </row>
    <row r="1009" spans="1:9" x14ac:dyDescent="0.3">
      <c r="A1009" s="126"/>
      <c r="B1009" s="126"/>
      <c r="C1009" s="126"/>
      <c r="D1009" s="128"/>
      <c r="E1009" s="129"/>
      <c r="F1009" s="126"/>
      <c r="G1009" s="127"/>
      <c r="H1009" s="127"/>
      <c r="I1009" s="127"/>
    </row>
    <row r="1010" spans="1:9" x14ac:dyDescent="0.3">
      <c r="A1010" s="126"/>
      <c r="B1010" s="126"/>
      <c r="C1010" s="126"/>
      <c r="D1010" s="126"/>
      <c r="E1010" s="126"/>
      <c r="F1010" s="126"/>
      <c r="G1010" s="127"/>
      <c r="H1010" s="127"/>
      <c r="I1010" s="127"/>
    </row>
    <row r="1011" spans="1:9" x14ac:dyDescent="0.3">
      <c r="A1011" s="126"/>
      <c r="B1011" s="126"/>
      <c r="C1011" s="126"/>
      <c r="D1011" s="126"/>
      <c r="E1011" s="126"/>
      <c r="F1011" s="126"/>
      <c r="G1011" s="127"/>
      <c r="H1011" s="127"/>
      <c r="I1011" s="127"/>
    </row>
    <row r="1012" spans="1:9" x14ac:dyDescent="0.3">
      <c r="A1012" s="130"/>
      <c r="B1012" s="126"/>
      <c r="C1012" s="126"/>
      <c r="D1012" s="126"/>
      <c r="E1012" s="126"/>
      <c r="F1012" s="126"/>
      <c r="G1012" s="127"/>
      <c r="H1012" s="127"/>
      <c r="I1012" s="127"/>
    </row>
    <row r="1013" spans="1:9" x14ac:dyDescent="0.3">
      <c r="A1013" s="131"/>
      <c r="B1013" s="126"/>
      <c r="C1013" s="126"/>
      <c r="D1013" s="126"/>
      <c r="E1013" s="126"/>
      <c r="F1013" s="126"/>
      <c r="G1013" s="127"/>
      <c r="H1013" s="127"/>
      <c r="I1013" s="127"/>
    </row>
    <row r="1014" spans="1:9" x14ac:dyDescent="0.3">
      <c r="A1014" s="131"/>
      <c r="B1014" s="126"/>
      <c r="C1014" s="126"/>
      <c r="D1014" s="126"/>
      <c r="E1014" s="126"/>
      <c r="F1014" s="126"/>
      <c r="G1014" s="127"/>
      <c r="H1014" s="127"/>
      <c r="I1014" s="127"/>
    </row>
    <row r="1015" spans="1:9" x14ac:dyDescent="0.3">
      <c r="A1015" s="131"/>
      <c r="B1015" s="126"/>
      <c r="C1015" s="126"/>
      <c r="D1015" s="126"/>
      <c r="E1015" s="126"/>
      <c r="F1015" s="126"/>
      <c r="G1015" s="127"/>
      <c r="H1015" s="127"/>
      <c r="I1015" s="127"/>
    </row>
    <row r="1016" spans="1:9" x14ac:dyDescent="0.3">
      <c r="A1016" s="131"/>
      <c r="B1016" s="126"/>
      <c r="C1016" s="126"/>
      <c r="D1016" s="126"/>
      <c r="E1016" s="126"/>
      <c r="F1016" s="126"/>
      <c r="G1016" s="127"/>
      <c r="H1016" s="127"/>
      <c r="I1016" s="127"/>
    </row>
    <row r="1017" spans="1:9" x14ac:dyDescent="0.3">
      <c r="A1017" s="131"/>
      <c r="B1017" s="126"/>
      <c r="C1017" s="126"/>
      <c r="D1017" s="126"/>
      <c r="E1017" s="126"/>
      <c r="F1017" s="126"/>
      <c r="G1017" s="127"/>
      <c r="H1017" s="127"/>
      <c r="I1017" s="127"/>
    </row>
    <row r="1018" spans="1:9" x14ac:dyDescent="0.3">
      <c r="A1018" s="115"/>
      <c r="B1018" s="126"/>
      <c r="C1018" s="115"/>
      <c r="D1018" s="126"/>
      <c r="E1018" s="126"/>
      <c r="F1018" s="126"/>
      <c r="G1018" s="127"/>
      <c r="H1018" s="127"/>
      <c r="I1018" s="127"/>
    </row>
    <row r="1019" spans="1:9" x14ac:dyDescent="0.3">
      <c r="A1019" s="115"/>
      <c r="B1019" s="126"/>
      <c r="C1019" s="115"/>
      <c r="D1019" s="126"/>
      <c r="E1019" s="126"/>
      <c r="F1019" s="126"/>
      <c r="G1019" s="127"/>
      <c r="H1019" s="127"/>
      <c r="I1019" s="127"/>
    </row>
    <row r="1020" spans="1:9" x14ac:dyDescent="0.3">
      <c r="A1020" s="128"/>
      <c r="B1020" s="129"/>
      <c r="C1020" s="126"/>
      <c r="D1020" s="126"/>
      <c r="E1020" s="126"/>
      <c r="F1020" s="126"/>
      <c r="G1020" s="127"/>
      <c r="H1020" s="127"/>
      <c r="I1020" s="127"/>
    </row>
    <row r="1021" spans="1:9" x14ac:dyDescent="0.3">
      <c r="A1021" s="126"/>
      <c r="B1021" s="126"/>
      <c r="C1021" s="126"/>
      <c r="D1021" s="126"/>
      <c r="E1021" s="126"/>
      <c r="F1021" s="126"/>
      <c r="G1021" s="127"/>
      <c r="H1021" s="127"/>
      <c r="I1021" s="127"/>
    </row>
    <row r="1022" spans="1:9" x14ac:dyDescent="0.3">
      <c r="A1022" s="126"/>
      <c r="B1022" s="126"/>
      <c r="C1022" s="126"/>
      <c r="D1022" s="126"/>
      <c r="E1022" s="126"/>
      <c r="F1022" s="126"/>
      <c r="G1022" s="127"/>
      <c r="H1022" s="127"/>
      <c r="I1022" s="127"/>
    </row>
    <row r="1023" spans="1:9" x14ac:dyDescent="0.3">
      <c r="A1023" s="126"/>
      <c r="B1023" s="126"/>
      <c r="C1023" s="126"/>
      <c r="D1023" s="126"/>
      <c r="E1023" s="126"/>
      <c r="F1023" s="126"/>
      <c r="G1023" s="127"/>
      <c r="H1023" s="127"/>
      <c r="I1023" s="127"/>
    </row>
    <row r="1024" spans="1:9" x14ac:dyDescent="0.3">
      <c r="A1024" s="126"/>
      <c r="B1024" s="126"/>
      <c r="C1024" s="126"/>
      <c r="D1024" s="126"/>
      <c r="E1024" s="126"/>
      <c r="F1024" s="126"/>
      <c r="G1024" s="127"/>
      <c r="H1024" s="127"/>
      <c r="I1024" s="127"/>
    </row>
    <row r="1025" spans="1:9" x14ac:dyDescent="0.3">
      <c r="A1025" s="130"/>
      <c r="B1025" s="126"/>
      <c r="C1025" s="126"/>
      <c r="D1025" s="126"/>
      <c r="E1025" s="126"/>
      <c r="F1025" s="126"/>
      <c r="G1025" s="127"/>
      <c r="H1025" s="127"/>
      <c r="I1025" s="127"/>
    </row>
    <row r="1026" spans="1:9" x14ac:dyDescent="0.3">
      <c r="A1026" s="131"/>
      <c r="B1026" s="126"/>
      <c r="C1026" s="126"/>
      <c r="D1026" s="126"/>
      <c r="E1026" s="126"/>
      <c r="F1026" s="126"/>
      <c r="G1026" s="127"/>
      <c r="H1026" s="127"/>
      <c r="I1026" s="127"/>
    </row>
    <row r="1027" spans="1:9" x14ac:dyDescent="0.3">
      <c r="A1027" s="131"/>
      <c r="B1027" s="126"/>
      <c r="C1027" s="126"/>
      <c r="D1027" s="126"/>
      <c r="E1027" s="126"/>
      <c r="F1027" s="126"/>
      <c r="G1027" s="127"/>
      <c r="H1027" s="127"/>
      <c r="I1027" s="127"/>
    </row>
    <row r="1028" spans="1:9" x14ac:dyDescent="0.3">
      <c r="A1028" s="131"/>
      <c r="B1028" s="126"/>
      <c r="C1028" s="126"/>
      <c r="D1028" s="126"/>
      <c r="E1028" s="126"/>
      <c r="F1028" s="126"/>
      <c r="G1028" s="127"/>
      <c r="H1028" s="127"/>
      <c r="I1028" s="127"/>
    </row>
    <row r="1029" spans="1:9" x14ac:dyDescent="0.3">
      <c r="A1029" s="131"/>
      <c r="B1029" s="126"/>
      <c r="C1029" s="126"/>
      <c r="D1029" s="126"/>
      <c r="E1029" s="126"/>
      <c r="F1029" s="126"/>
      <c r="G1029" s="127"/>
      <c r="H1029" s="127"/>
      <c r="I1029" s="127"/>
    </row>
    <row r="1030" spans="1:9" x14ac:dyDescent="0.3">
      <c r="A1030" s="131"/>
      <c r="B1030" s="126"/>
      <c r="C1030" s="126"/>
      <c r="D1030" s="126"/>
      <c r="E1030" s="126"/>
      <c r="F1030" s="126"/>
      <c r="G1030" s="127"/>
      <c r="H1030" s="127"/>
      <c r="I1030" s="127"/>
    </row>
    <row r="1031" spans="1:9" x14ac:dyDescent="0.3">
      <c r="A1031" s="131"/>
      <c r="B1031" s="126"/>
      <c r="C1031" s="126"/>
      <c r="D1031" s="126"/>
      <c r="E1031" s="126"/>
      <c r="F1031" s="126"/>
      <c r="G1031" s="127"/>
      <c r="H1031" s="127"/>
      <c r="I1031" s="127"/>
    </row>
    <row r="1032" spans="1:9" x14ac:dyDescent="0.3">
      <c r="A1032" s="128"/>
      <c r="B1032" s="129"/>
      <c r="C1032" s="126"/>
      <c r="D1032" s="126"/>
      <c r="E1032" s="126"/>
      <c r="F1032" s="126"/>
      <c r="G1032" s="127"/>
      <c r="H1032" s="127"/>
      <c r="I1032" s="127"/>
    </row>
    <row r="1033" spans="1:9" x14ac:dyDescent="0.3">
      <c r="A1033" s="126"/>
      <c r="B1033" s="126"/>
      <c r="C1033" s="126"/>
      <c r="D1033" s="126"/>
      <c r="E1033" s="126"/>
      <c r="F1033" s="126"/>
      <c r="G1033" s="127"/>
      <c r="H1033" s="127"/>
      <c r="I1033" s="127"/>
    </row>
    <row r="1034" spans="1:9" x14ac:dyDescent="0.3">
      <c r="A1034" s="126"/>
      <c r="B1034" s="126"/>
      <c r="C1034" s="126"/>
      <c r="D1034" s="126"/>
      <c r="E1034" s="126"/>
      <c r="F1034" s="126"/>
      <c r="G1034" s="127"/>
      <c r="H1034" s="127"/>
      <c r="I1034" s="127"/>
    </row>
    <row r="1035" spans="1:9" x14ac:dyDescent="0.3">
      <c r="A1035" s="126"/>
      <c r="B1035" s="126"/>
      <c r="C1035" s="126"/>
      <c r="D1035" s="126"/>
      <c r="E1035" s="126"/>
      <c r="F1035" s="126"/>
      <c r="G1035" s="127"/>
      <c r="H1035" s="127"/>
      <c r="I1035" s="127"/>
    </row>
    <row r="1036" spans="1:9" x14ac:dyDescent="0.3">
      <c r="A1036" s="126"/>
      <c r="B1036" s="126"/>
      <c r="C1036" s="126"/>
      <c r="D1036" s="126"/>
      <c r="E1036" s="126"/>
      <c r="F1036" s="126"/>
      <c r="G1036" s="127"/>
      <c r="H1036" s="127"/>
      <c r="I1036" s="127"/>
    </row>
    <row r="1037" spans="1:9" x14ac:dyDescent="0.3">
      <c r="A1037" s="130"/>
      <c r="B1037" s="126"/>
      <c r="C1037" s="126"/>
      <c r="D1037" s="126"/>
      <c r="E1037" s="126"/>
      <c r="F1037" s="126"/>
      <c r="G1037" s="127"/>
      <c r="H1037" s="127"/>
      <c r="I1037" s="127"/>
    </row>
    <row r="1038" spans="1:9" x14ac:dyDescent="0.3">
      <c r="A1038" s="131"/>
      <c r="B1038" s="126"/>
      <c r="C1038" s="126"/>
      <c r="D1038" s="126"/>
      <c r="E1038" s="126"/>
      <c r="F1038" s="126"/>
      <c r="G1038" s="127"/>
      <c r="H1038" s="127"/>
      <c r="I1038" s="127"/>
    </row>
    <row r="1039" spans="1:9" x14ac:dyDescent="0.3">
      <c r="A1039" s="131"/>
      <c r="B1039" s="126"/>
      <c r="C1039" s="126"/>
      <c r="D1039" s="126"/>
      <c r="E1039" s="126"/>
      <c r="F1039" s="126"/>
      <c r="G1039" s="127"/>
      <c r="H1039" s="127"/>
      <c r="I1039" s="127"/>
    </row>
    <row r="1040" spans="1:9" x14ac:dyDescent="0.3">
      <c r="A1040" s="131"/>
      <c r="B1040" s="126"/>
      <c r="C1040" s="126"/>
      <c r="D1040" s="126"/>
      <c r="E1040" s="126"/>
      <c r="F1040" s="126"/>
      <c r="G1040" s="127"/>
      <c r="H1040" s="127"/>
      <c r="I1040" s="127"/>
    </row>
    <row r="1041" spans="1:9" x14ac:dyDescent="0.3">
      <c r="A1041" s="131"/>
      <c r="B1041" s="126"/>
      <c r="C1041" s="126"/>
      <c r="D1041" s="126"/>
      <c r="E1041" s="126"/>
      <c r="F1041" s="126"/>
      <c r="G1041" s="127"/>
      <c r="H1041" s="127"/>
      <c r="I1041" s="127"/>
    </row>
    <row r="1042" spans="1:9" x14ac:dyDescent="0.3">
      <c r="A1042" s="125"/>
      <c r="B1042" s="126"/>
      <c r="C1042" s="126"/>
      <c r="D1042" s="126"/>
      <c r="E1042" s="126"/>
      <c r="F1042" s="126"/>
      <c r="G1042" s="127"/>
      <c r="H1042" s="127"/>
      <c r="I1042" s="127"/>
    </row>
    <row r="1043" spans="1:9" x14ac:dyDescent="0.3">
      <c r="A1043" s="125"/>
      <c r="B1043" s="126"/>
      <c r="C1043" s="126"/>
      <c r="D1043" s="126"/>
      <c r="E1043" s="126"/>
      <c r="F1043" s="126"/>
      <c r="G1043" s="127"/>
      <c r="H1043" s="127"/>
      <c r="I1043" s="127"/>
    </row>
    <row r="1044" spans="1:9" x14ac:dyDescent="0.3">
      <c r="A1044" s="128"/>
      <c r="B1044" s="129"/>
      <c r="C1044" s="126"/>
      <c r="D1044" s="126"/>
      <c r="E1044" s="126"/>
      <c r="F1044" s="126"/>
      <c r="G1044" s="127"/>
      <c r="H1044" s="127"/>
      <c r="I1044" s="127"/>
    </row>
    <row r="1045" spans="1:9" x14ac:dyDescent="0.3">
      <c r="A1045" s="126"/>
      <c r="B1045" s="126"/>
      <c r="C1045" s="126"/>
      <c r="D1045" s="126"/>
      <c r="E1045" s="126"/>
      <c r="F1045" s="126"/>
      <c r="G1045" s="127"/>
      <c r="H1045" s="127"/>
      <c r="I1045" s="127"/>
    </row>
    <row r="1046" spans="1:9" x14ac:dyDescent="0.3">
      <c r="A1046" s="126"/>
      <c r="B1046" s="126"/>
      <c r="C1046" s="126"/>
      <c r="D1046" s="126"/>
      <c r="E1046" s="126"/>
      <c r="F1046" s="126"/>
      <c r="G1046" s="127"/>
      <c r="H1046" s="127"/>
      <c r="I1046" s="127"/>
    </row>
    <row r="1047" spans="1:9" x14ac:dyDescent="0.3">
      <c r="A1047" s="126"/>
      <c r="B1047" s="126"/>
      <c r="C1047" s="126"/>
      <c r="D1047" s="126"/>
      <c r="E1047" s="126"/>
      <c r="F1047" s="126"/>
      <c r="G1047" s="127"/>
      <c r="H1047" s="127"/>
      <c r="I1047" s="127"/>
    </row>
    <row r="1048" spans="1:9" x14ac:dyDescent="0.3">
      <c r="A1048" s="126"/>
      <c r="B1048" s="126"/>
      <c r="C1048" s="126"/>
      <c r="D1048" s="126"/>
      <c r="E1048" s="126"/>
      <c r="F1048" s="126"/>
      <c r="G1048" s="127"/>
      <c r="H1048" s="127"/>
      <c r="I1048" s="127"/>
    </row>
    <row r="1049" spans="1:9" x14ac:dyDescent="0.3">
      <c r="A1049" s="137"/>
      <c r="B1049" s="137"/>
      <c r="C1049" s="137"/>
      <c r="D1049" s="128"/>
      <c r="E1049" s="129"/>
      <c r="F1049" s="126"/>
      <c r="G1049" s="127"/>
      <c r="H1049" s="127"/>
      <c r="I1049" s="127"/>
    </row>
    <row r="1050" spans="1:9" x14ac:dyDescent="0.3">
      <c r="A1050" s="126"/>
      <c r="B1050" s="126"/>
      <c r="C1050" s="126"/>
      <c r="D1050" s="126"/>
      <c r="E1050" s="126"/>
      <c r="F1050" s="126"/>
      <c r="G1050" s="127"/>
      <c r="H1050" s="127"/>
      <c r="I1050" s="127"/>
    </row>
    <row r="1051" spans="1:9" x14ac:dyDescent="0.3">
      <c r="A1051" s="126"/>
      <c r="B1051" s="126"/>
      <c r="C1051" s="126"/>
      <c r="D1051" s="126"/>
      <c r="E1051" s="126"/>
      <c r="F1051" s="126"/>
      <c r="G1051" s="127"/>
      <c r="H1051" s="127"/>
      <c r="I1051" s="127"/>
    </row>
    <row r="1052" spans="1:9" x14ac:dyDescent="0.3">
      <c r="A1052" s="126"/>
      <c r="B1052" s="126"/>
      <c r="C1052" s="126"/>
      <c r="D1052" s="126"/>
      <c r="E1052" s="126"/>
      <c r="F1052" s="126"/>
      <c r="G1052" s="127"/>
      <c r="H1052" s="127"/>
      <c r="I1052" s="127"/>
    </row>
    <row r="1053" spans="1:9" x14ac:dyDescent="0.3">
      <c r="A1053" s="126"/>
      <c r="B1053" s="126"/>
      <c r="C1053" s="126"/>
      <c r="D1053" s="126"/>
      <c r="E1053" s="126"/>
      <c r="F1053" s="126"/>
      <c r="G1053" s="127"/>
      <c r="H1053" s="127"/>
      <c r="I1053" s="127"/>
    </row>
    <row r="1054" spans="1:9" x14ac:dyDescent="0.3">
      <c r="A1054" s="126"/>
      <c r="B1054" s="126"/>
      <c r="C1054" s="126"/>
      <c r="D1054" s="126"/>
      <c r="E1054" s="126"/>
      <c r="F1054" s="126"/>
      <c r="G1054" s="127"/>
      <c r="H1054" s="127"/>
      <c r="I1054" s="127"/>
    </row>
    <row r="1055" spans="1:9" ht="15.6" x14ac:dyDescent="0.3">
      <c r="A1055" s="139"/>
      <c r="B1055" s="139"/>
      <c r="C1055" s="139"/>
      <c r="D1055" s="139"/>
      <c r="E1055" s="139"/>
      <c r="F1055" s="139"/>
      <c r="G1055" s="127"/>
      <c r="H1055" s="127"/>
      <c r="I1055" s="127"/>
    </row>
    <row r="1056" spans="1:9" x14ac:dyDescent="0.3">
      <c r="A1056" s="140"/>
      <c r="B1056" s="140"/>
      <c r="C1056" s="140"/>
      <c r="D1056" s="141"/>
      <c r="E1056" s="140"/>
      <c r="F1056" s="140"/>
      <c r="G1056" s="127"/>
      <c r="H1056" s="127"/>
      <c r="I1056" s="127"/>
    </row>
    <row r="1057" spans="1:9" x14ac:dyDescent="0.3">
      <c r="A1057" s="142"/>
      <c r="B1057" s="142"/>
      <c r="C1057" s="142"/>
      <c r="D1057" s="142"/>
      <c r="E1057" s="142"/>
      <c r="F1057" s="142"/>
      <c r="G1057" s="127"/>
      <c r="H1057" s="127"/>
      <c r="I1057" s="127"/>
    </row>
    <row r="1058" spans="1:9" x14ac:dyDescent="0.3">
      <c r="A1058" s="142"/>
      <c r="B1058" s="142"/>
      <c r="C1058" s="142"/>
      <c r="D1058" s="142"/>
      <c r="E1058" s="142"/>
      <c r="F1058" s="142"/>
      <c r="G1058" s="127"/>
      <c r="H1058" s="127"/>
      <c r="I1058" s="127"/>
    </row>
    <row r="1059" spans="1:9" x14ac:dyDescent="0.3">
      <c r="A1059" s="142"/>
      <c r="B1059" s="142"/>
      <c r="C1059" s="142"/>
      <c r="D1059" s="142"/>
      <c r="E1059" s="142"/>
      <c r="F1059" s="142"/>
      <c r="G1059" s="127"/>
      <c r="H1059" s="127"/>
      <c r="I1059" s="127"/>
    </row>
    <row r="1060" spans="1:9" x14ac:dyDescent="0.3">
      <c r="A1060" s="142"/>
      <c r="B1060" s="142"/>
      <c r="C1060" s="142"/>
      <c r="D1060" s="142"/>
      <c r="E1060" s="142"/>
      <c r="F1060" s="142"/>
      <c r="G1060" s="127"/>
      <c r="H1060" s="127"/>
      <c r="I1060" s="127"/>
    </row>
    <row r="1061" spans="1:9" x14ac:dyDescent="0.3">
      <c r="A1061" s="142"/>
      <c r="B1061" s="142"/>
      <c r="C1061" s="142"/>
      <c r="D1061" s="142"/>
      <c r="E1061" s="142"/>
      <c r="F1061" s="142"/>
      <c r="G1061" s="127"/>
      <c r="H1061" s="127"/>
      <c r="I1061" s="127"/>
    </row>
    <row r="1062" spans="1:9" x14ac:dyDescent="0.3">
      <c r="A1062" s="142"/>
      <c r="B1062" s="142"/>
      <c r="C1062" s="142"/>
      <c r="D1062" s="142"/>
      <c r="E1062" s="142"/>
      <c r="F1062" s="142"/>
      <c r="G1062" s="127"/>
      <c r="H1062" s="127"/>
      <c r="I1062" s="127"/>
    </row>
    <row r="1063" spans="1:9" x14ac:dyDescent="0.3">
      <c r="A1063" s="142"/>
      <c r="B1063" s="142"/>
      <c r="C1063" s="142"/>
      <c r="D1063" s="142"/>
      <c r="E1063" s="142"/>
      <c r="F1063" s="142"/>
      <c r="G1063" s="127"/>
      <c r="H1063" s="127"/>
      <c r="I1063" s="127"/>
    </row>
    <row r="1064" spans="1:9" x14ac:dyDescent="0.3">
      <c r="A1064" s="142"/>
      <c r="B1064" s="142"/>
      <c r="C1064" s="142"/>
      <c r="D1064" s="142"/>
      <c r="E1064" s="142"/>
      <c r="F1064" s="142"/>
      <c r="G1064" s="127"/>
      <c r="H1064" s="127"/>
      <c r="I1064" s="127"/>
    </row>
    <row r="1065" spans="1:9" x14ac:dyDescent="0.3">
      <c r="A1065" s="142"/>
      <c r="B1065" s="142"/>
      <c r="C1065" s="142"/>
      <c r="D1065" s="142"/>
      <c r="E1065" s="142"/>
      <c r="F1065" s="142"/>
      <c r="G1065" s="127"/>
      <c r="H1065" s="127"/>
      <c r="I1065" s="127"/>
    </row>
    <row r="1066" spans="1:9" x14ac:dyDescent="0.3">
      <c r="A1066" s="142"/>
      <c r="B1066" s="142"/>
      <c r="C1066" s="142"/>
      <c r="D1066" s="142"/>
      <c r="E1066" s="142"/>
      <c r="F1066" s="142"/>
      <c r="G1066" s="127"/>
      <c r="H1066" s="127"/>
      <c r="I1066" s="127"/>
    </row>
    <row r="1067" spans="1:9" x14ac:dyDescent="0.3">
      <c r="A1067" s="142"/>
      <c r="B1067" s="142"/>
      <c r="C1067" s="142"/>
      <c r="D1067" s="142"/>
      <c r="E1067" s="142"/>
      <c r="F1067" s="142"/>
      <c r="G1067" s="127"/>
      <c r="H1067" s="127"/>
      <c r="I1067" s="127"/>
    </row>
    <row r="1068" spans="1:9" x14ac:dyDescent="0.3">
      <c r="A1068" s="142"/>
      <c r="B1068" s="142"/>
      <c r="C1068" s="142"/>
      <c r="D1068" s="142"/>
      <c r="E1068" s="142"/>
      <c r="F1068" s="142"/>
      <c r="G1068" s="127"/>
      <c r="H1068" s="127"/>
      <c r="I1068" s="127"/>
    </row>
    <row r="1069" spans="1:9" x14ac:dyDescent="0.3">
      <c r="A1069" s="142"/>
      <c r="B1069" s="142"/>
      <c r="C1069" s="142"/>
      <c r="D1069" s="142"/>
      <c r="E1069" s="142"/>
      <c r="F1069" s="142"/>
      <c r="G1069" s="127"/>
      <c r="H1069" s="127"/>
      <c r="I1069" s="127"/>
    </row>
    <row r="1070" spans="1:9" x14ac:dyDescent="0.3">
      <c r="A1070" s="142"/>
      <c r="B1070" s="142"/>
      <c r="C1070" s="142"/>
      <c r="D1070" s="142"/>
      <c r="E1070" s="142"/>
      <c r="F1070" s="142"/>
      <c r="G1070" s="127"/>
      <c r="H1070" s="127"/>
      <c r="I1070" s="127"/>
    </row>
    <row r="1071" spans="1:9" x14ac:dyDescent="0.3">
      <c r="A1071" s="142"/>
      <c r="B1071" s="142"/>
      <c r="C1071" s="142"/>
      <c r="D1071" s="142"/>
      <c r="E1071" s="142"/>
      <c r="F1071" s="142"/>
      <c r="G1071" s="127"/>
      <c r="H1071" s="127"/>
      <c r="I1071" s="127"/>
    </row>
    <row r="1072" spans="1:9" x14ac:dyDescent="0.3">
      <c r="A1072" s="142"/>
      <c r="B1072" s="142"/>
      <c r="C1072" s="142"/>
      <c r="D1072" s="142"/>
      <c r="E1072" s="142"/>
      <c r="F1072" s="142"/>
      <c r="G1072" s="127"/>
      <c r="H1072" s="127"/>
      <c r="I1072" s="127"/>
    </row>
    <row r="1073" spans="1:9" x14ac:dyDescent="0.3">
      <c r="A1073" s="142"/>
      <c r="B1073" s="142"/>
      <c r="C1073" s="142"/>
      <c r="D1073" s="142"/>
      <c r="E1073" s="142"/>
      <c r="F1073" s="142"/>
      <c r="G1073" s="127"/>
      <c r="H1073" s="127"/>
      <c r="I1073" s="127"/>
    </row>
    <row r="1074" spans="1:9" x14ac:dyDescent="0.3">
      <c r="A1074" s="142"/>
      <c r="B1074" s="142"/>
      <c r="C1074" s="142"/>
      <c r="D1074" s="142"/>
      <c r="E1074" s="142"/>
      <c r="F1074" s="142"/>
      <c r="G1074" s="127"/>
      <c r="H1074" s="127"/>
      <c r="I1074" s="127"/>
    </row>
    <row r="1075" spans="1:9" x14ac:dyDescent="0.3">
      <c r="A1075" s="142"/>
      <c r="B1075" s="142"/>
      <c r="C1075" s="142"/>
      <c r="D1075" s="142"/>
      <c r="E1075" s="142"/>
      <c r="F1075" s="142"/>
      <c r="G1075" s="127"/>
      <c r="H1075" s="127"/>
      <c r="I1075" s="127"/>
    </row>
    <row r="1076" spans="1:9" x14ac:dyDescent="0.3">
      <c r="A1076" s="142"/>
      <c r="B1076" s="142"/>
      <c r="C1076" s="142"/>
      <c r="D1076" s="142"/>
      <c r="E1076" s="142"/>
      <c r="F1076" s="142"/>
      <c r="G1076" s="127"/>
      <c r="H1076" s="127"/>
      <c r="I1076" s="127"/>
    </row>
    <row r="1077" spans="1:9" x14ac:dyDescent="0.3">
      <c r="A1077" s="142"/>
      <c r="B1077" s="142"/>
      <c r="C1077" s="142"/>
      <c r="D1077" s="142"/>
      <c r="E1077" s="142"/>
      <c r="F1077" s="143"/>
      <c r="G1077" s="127"/>
      <c r="H1077" s="127"/>
      <c r="I1077" s="127"/>
    </row>
    <row r="1078" spans="1:9" x14ac:dyDescent="0.3">
      <c r="A1078" s="142"/>
      <c r="B1078" s="142"/>
      <c r="C1078" s="142"/>
      <c r="D1078" s="142"/>
      <c r="E1078" s="142"/>
      <c r="F1078" s="142"/>
      <c r="G1078" s="127"/>
      <c r="H1078" s="127"/>
      <c r="I1078" s="127"/>
    </row>
    <row r="1079" spans="1:9" ht="15.6" x14ac:dyDescent="0.3">
      <c r="A1079" s="139"/>
      <c r="B1079" s="139"/>
      <c r="C1079" s="139"/>
      <c r="D1079" s="139"/>
      <c r="E1079" s="139"/>
      <c r="F1079" s="139"/>
      <c r="G1079" s="127"/>
      <c r="H1079" s="127"/>
      <c r="I1079" s="127"/>
    </row>
    <row r="1080" spans="1:9" x14ac:dyDescent="0.3">
      <c r="A1080" s="140"/>
      <c r="B1080" s="140"/>
      <c r="C1080" s="140"/>
      <c r="D1080" s="141"/>
      <c r="E1080" s="140"/>
      <c r="F1080" s="140"/>
      <c r="G1080" s="127"/>
      <c r="H1080" s="127"/>
      <c r="I1080" s="127"/>
    </row>
    <row r="1081" spans="1:9" x14ac:dyDescent="0.3">
      <c r="A1081" s="142"/>
      <c r="B1081" s="142"/>
      <c r="C1081" s="142"/>
      <c r="D1081" s="142"/>
      <c r="E1081" s="142"/>
      <c r="F1081" s="142"/>
      <c r="G1081" s="127"/>
      <c r="H1081" s="127"/>
      <c r="I1081" s="127"/>
    </row>
    <row r="1082" spans="1:9" x14ac:dyDescent="0.3">
      <c r="A1082" s="142"/>
      <c r="B1082" s="142"/>
      <c r="C1082" s="142"/>
      <c r="D1082" s="142"/>
      <c r="E1082" s="142"/>
      <c r="F1082" s="142"/>
      <c r="G1082" s="127"/>
      <c r="H1082" s="127"/>
      <c r="I1082" s="127"/>
    </row>
    <row r="1083" spans="1:9" x14ac:dyDescent="0.3">
      <c r="A1083" s="142"/>
      <c r="B1083" s="142"/>
      <c r="C1083" s="142"/>
      <c r="D1083" s="142"/>
      <c r="E1083" s="142"/>
      <c r="F1083" s="142"/>
      <c r="G1083" s="127"/>
      <c r="H1083" s="127"/>
      <c r="I1083" s="127"/>
    </row>
    <row r="1084" spans="1:9" x14ac:dyDescent="0.3">
      <c r="A1084" s="142"/>
      <c r="B1084" s="142"/>
      <c r="C1084" s="142"/>
      <c r="D1084" s="142"/>
      <c r="E1084" s="142"/>
      <c r="F1084" s="142"/>
      <c r="G1084" s="127"/>
      <c r="H1084" s="127"/>
      <c r="I1084" s="127"/>
    </row>
    <row r="1085" spans="1:9" x14ac:dyDescent="0.3">
      <c r="A1085" s="142"/>
      <c r="B1085" s="142"/>
      <c r="C1085" s="142"/>
      <c r="D1085" s="142"/>
      <c r="E1085" s="142"/>
      <c r="F1085" s="142"/>
      <c r="G1085" s="127"/>
      <c r="H1085" s="127"/>
      <c r="I1085" s="127"/>
    </row>
    <row r="1086" spans="1:9" x14ac:dyDescent="0.3">
      <c r="A1086" s="142"/>
      <c r="B1086" s="142"/>
      <c r="C1086" s="142"/>
      <c r="D1086" s="142"/>
      <c r="E1086" s="142"/>
      <c r="F1086" s="142"/>
      <c r="G1086" s="127"/>
      <c r="H1086" s="127"/>
      <c r="I1086" s="127"/>
    </row>
    <row r="1087" spans="1:9" x14ac:dyDescent="0.3">
      <c r="A1087" s="136"/>
      <c r="B1087" s="136"/>
      <c r="C1087" s="136"/>
      <c r="D1087" s="142"/>
      <c r="E1087" s="142"/>
      <c r="F1087" s="142"/>
      <c r="G1087" s="127"/>
      <c r="H1087" s="127"/>
      <c r="I1087" s="127"/>
    </row>
    <row r="1088" spans="1:9" x14ac:dyDescent="0.3">
      <c r="A1088" s="136"/>
      <c r="B1088" s="136"/>
      <c r="C1088" s="136"/>
      <c r="D1088" s="142"/>
      <c r="E1088" s="142"/>
      <c r="F1088" s="142"/>
      <c r="G1088" s="127"/>
      <c r="H1088" s="127"/>
      <c r="I1088" s="127"/>
    </row>
    <row r="1089" spans="1:9" x14ac:dyDescent="0.3">
      <c r="A1089" s="136"/>
      <c r="B1089" s="136"/>
      <c r="C1089" s="136"/>
      <c r="D1089" s="142"/>
      <c r="E1089" s="142"/>
      <c r="F1089" s="142"/>
      <c r="G1089" s="127"/>
      <c r="H1089" s="127"/>
      <c r="I1089" s="127"/>
    </row>
    <row r="1090" spans="1:9" x14ac:dyDescent="0.3">
      <c r="A1090" s="136"/>
      <c r="B1090" s="136"/>
      <c r="C1090" s="136"/>
      <c r="D1090" s="142"/>
      <c r="E1090" s="142"/>
      <c r="F1090" s="142"/>
      <c r="G1090" s="127"/>
      <c r="H1090" s="127"/>
      <c r="I1090" s="127"/>
    </row>
    <row r="1091" spans="1:9" x14ac:dyDescent="0.3">
      <c r="A1091" s="136"/>
      <c r="B1091" s="136"/>
      <c r="C1091" s="142"/>
      <c r="D1091" s="142"/>
      <c r="E1091" s="142"/>
      <c r="F1091" s="142"/>
      <c r="G1091" s="127"/>
      <c r="H1091" s="127"/>
      <c r="I1091" s="127"/>
    </row>
    <row r="1092" spans="1:9" x14ac:dyDescent="0.3">
      <c r="A1092" s="142"/>
      <c r="B1092" s="136"/>
      <c r="C1092" s="142"/>
      <c r="D1092" s="131"/>
      <c r="E1092" s="142"/>
      <c r="F1092" s="142"/>
      <c r="G1092" s="127"/>
      <c r="H1092" s="127"/>
      <c r="I1092" s="127"/>
    </row>
    <row r="1093" spans="1:9" x14ac:dyDescent="0.3">
      <c r="A1093" s="142"/>
      <c r="B1093" s="136"/>
      <c r="C1093" s="142"/>
      <c r="D1093" s="144"/>
      <c r="E1093" s="142"/>
      <c r="F1093" s="142"/>
      <c r="G1093" s="127"/>
      <c r="H1093" s="127"/>
      <c r="I1093" s="127"/>
    </row>
    <row r="1094" spans="1:9" x14ac:dyDescent="0.3">
      <c r="A1094" s="142"/>
      <c r="B1094" s="136"/>
      <c r="C1094" s="136"/>
      <c r="D1094" s="136"/>
      <c r="E1094" s="136"/>
      <c r="F1094" s="142"/>
      <c r="G1094" s="127"/>
      <c r="H1094" s="127"/>
      <c r="I1094" s="127"/>
    </row>
    <row r="1095" spans="1:9" x14ac:dyDescent="0.3">
      <c r="A1095" s="100"/>
      <c r="B1095" s="100"/>
      <c r="C1095" s="100"/>
      <c r="D1095" s="100"/>
      <c r="E1095" s="100"/>
      <c r="F1095" s="143"/>
      <c r="G1095" s="127"/>
      <c r="H1095" s="127"/>
      <c r="I1095" s="127"/>
    </row>
    <row r="1096" spans="1:9" x14ac:dyDescent="0.3">
      <c r="A1096" s="127"/>
      <c r="B1096" s="127"/>
      <c r="C1096" s="127"/>
      <c r="D1096" s="127"/>
      <c r="E1096" s="127"/>
      <c r="F1096" s="142"/>
      <c r="G1096" s="127"/>
      <c r="H1096" s="127"/>
      <c r="I1096" s="127"/>
    </row>
    <row r="1097" spans="1:9" x14ac:dyDescent="0.3">
      <c r="A1097" s="145"/>
      <c r="B1097" s="145"/>
      <c r="C1097" s="125"/>
      <c r="D1097" s="133"/>
      <c r="E1097" s="125"/>
      <c r="F1097" s="133"/>
      <c r="G1097" s="127"/>
      <c r="H1097" s="127"/>
      <c r="I1097" s="127"/>
    </row>
    <row r="1098" spans="1:9" x14ac:dyDescent="0.3">
      <c r="A1098" s="145"/>
      <c r="B1098" s="125"/>
      <c r="C1098" s="133"/>
      <c r="D1098" s="125"/>
      <c r="E1098" s="133"/>
      <c r="F1098" s="125"/>
      <c r="G1098" s="133"/>
      <c r="H1098" s="127"/>
      <c r="I1098" s="127"/>
    </row>
    <row r="1099" spans="1:9" x14ac:dyDescent="0.3">
      <c r="A1099" s="146"/>
      <c r="B1099" s="128"/>
      <c r="C1099" s="129"/>
      <c r="D1099" s="126"/>
      <c r="E1099" s="126"/>
      <c r="F1099" s="126"/>
      <c r="G1099" s="127"/>
      <c r="H1099" s="127"/>
      <c r="I1099" s="127"/>
    </row>
    <row r="1100" spans="1:9" x14ac:dyDescent="0.3">
      <c r="A1100" s="127"/>
      <c r="B1100" s="127"/>
      <c r="C1100" s="127"/>
      <c r="D1100" s="127"/>
      <c r="E1100" s="127"/>
      <c r="F1100" s="142"/>
      <c r="G1100" s="127"/>
      <c r="H1100" s="127"/>
      <c r="I1100" s="127"/>
    </row>
    <row r="1101" spans="1:9" x14ac:dyDescent="0.3">
      <c r="A1101" s="127"/>
      <c r="B1101" s="127"/>
      <c r="C1101" s="127"/>
      <c r="D1101" s="127"/>
      <c r="E1101" s="127"/>
      <c r="F1101" s="142"/>
      <c r="G1101" s="127"/>
      <c r="H1101" s="127"/>
      <c r="I1101" s="127"/>
    </row>
    <row r="1102" spans="1:9" x14ac:dyDescent="0.3">
      <c r="A1102" s="127"/>
      <c r="B1102" s="127"/>
      <c r="C1102" s="127"/>
      <c r="D1102" s="127"/>
      <c r="E1102" s="127"/>
      <c r="F1102" s="142"/>
      <c r="G1102" s="127"/>
      <c r="H1102" s="127"/>
      <c r="I1102" s="127"/>
    </row>
    <row r="1103" spans="1:9" x14ac:dyDescent="0.3">
      <c r="A1103" s="127"/>
      <c r="B1103" s="127"/>
      <c r="C1103" s="127"/>
      <c r="D1103" s="127"/>
      <c r="E1103" s="127"/>
      <c r="F1103" s="142"/>
      <c r="G1103" s="127"/>
      <c r="H1103" s="127"/>
      <c r="I1103" s="127"/>
    </row>
    <row r="1104" spans="1:9" ht="15.6" x14ac:dyDescent="0.3">
      <c r="A1104" s="139"/>
      <c r="B1104" s="139"/>
      <c r="C1104" s="139"/>
      <c r="D1104" s="139"/>
      <c r="E1104" s="139"/>
      <c r="F1104" s="139"/>
      <c r="G1104" s="127"/>
      <c r="H1104" s="127"/>
      <c r="I1104" s="127"/>
    </row>
    <row r="1105" spans="1:9" x14ac:dyDescent="0.3">
      <c r="A1105" s="140"/>
      <c r="B1105" s="140"/>
      <c r="C1105" s="140"/>
      <c r="D1105" s="141"/>
      <c r="E1105" s="140"/>
      <c r="F1105" s="140"/>
      <c r="G1105" s="127"/>
      <c r="H1105" s="127"/>
      <c r="I1105" s="127"/>
    </row>
    <row r="1106" spans="1:9" x14ac:dyDescent="0.3">
      <c r="A1106" s="142"/>
      <c r="B1106" s="147"/>
      <c r="C1106" s="142"/>
      <c r="D1106" s="127"/>
      <c r="E1106" s="127"/>
      <c r="F1106" s="142"/>
      <c r="G1106" s="127"/>
      <c r="H1106" s="127"/>
      <c r="I1106" s="127"/>
    </row>
    <row r="1107" spans="1:9" x14ac:dyDescent="0.3">
      <c r="A1107" s="142"/>
      <c r="B1107" s="147"/>
      <c r="C1107" s="142"/>
      <c r="D1107" s="127"/>
      <c r="E1107" s="127"/>
      <c r="F1107" s="127"/>
      <c r="G1107" s="127"/>
      <c r="H1107" s="127"/>
      <c r="I1107" s="127"/>
    </row>
    <row r="1108" spans="1:9" x14ac:dyDescent="0.3">
      <c r="A1108" s="142"/>
      <c r="B1108" s="147"/>
      <c r="C1108" s="142"/>
      <c r="D1108" s="127"/>
      <c r="E1108" s="127"/>
      <c r="F1108" s="127"/>
      <c r="G1108" s="127"/>
      <c r="H1108" s="127"/>
      <c r="I1108" s="127"/>
    </row>
    <row r="1109" spans="1:9" x14ac:dyDescent="0.3">
      <c r="A1109" s="142"/>
      <c r="B1109" s="147"/>
      <c r="C1109" s="142"/>
      <c r="D1109" s="127"/>
      <c r="E1109" s="127"/>
      <c r="F1109" s="127"/>
      <c r="G1109" s="127"/>
      <c r="H1109" s="127"/>
      <c r="I1109" s="127"/>
    </row>
    <row r="1110" spans="1:9" x14ac:dyDescent="0.3">
      <c r="A1110" s="142"/>
      <c r="B1110" s="147"/>
      <c r="C1110" s="142"/>
      <c r="D1110" s="127"/>
      <c r="E1110" s="127"/>
      <c r="F1110" s="127"/>
      <c r="G1110" s="127"/>
      <c r="H1110" s="127"/>
      <c r="I1110" s="127"/>
    </row>
    <row r="1111" spans="1:9" x14ac:dyDescent="0.3">
      <c r="A1111" s="142"/>
      <c r="B1111" s="147"/>
      <c r="C1111" s="142"/>
      <c r="D1111" s="127"/>
      <c r="E1111" s="127"/>
      <c r="F1111" s="127"/>
      <c r="G1111" s="127"/>
      <c r="H1111" s="127"/>
      <c r="I1111" s="127"/>
    </row>
    <row r="1112" spans="1:9" x14ac:dyDescent="0.3">
      <c r="A1112" s="142"/>
      <c r="B1112" s="147"/>
      <c r="C1112" s="142"/>
      <c r="D1112" s="127"/>
      <c r="E1112" s="127"/>
      <c r="F1112" s="127"/>
      <c r="G1112" s="127"/>
      <c r="H1112" s="127"/>
      <c r="I1112" s="127"/>
    </row>
    <row r="1113" spans="1:9" x14ac:dyDescent="0.3">
      <c r="A1113" s="142"/>
      <c r="B1113" s="147"/>
      <c r="C1113" s="142"/>
      <c r="D1113" s="127"/>
      <c r="E1113" s="127"/>
      <c r="F1113" s="127"/>
      <c r="G1113" s="127"/>
      <c r="H1113" s="127"/>
      <c r="I1113" s="127"/>
    </row>
    <row r="1114" spans="1:9" x14ac:dyDescent="0.3">
      <c r="A1114" s="142"/>
      <c r="B1114" s="147"/>
      <c r="C1114" s="142"/>
      <c r="D1114" s="127"/>
      <c r="E1114" s="127"/>
      <c r="F1114" s="127"/>
      <c r="G1114" s="127"/>
      <c r="H1114" s="127"/>
      <c r="I1114" s="127"/>
    </row>
    <row r="1115" spans="1:9" x14ac:dyDescent="0.3">
      <c r="A1115" s="142"/>
      <c r="B1115" s="147"/>
      <c r="C1115" s="142"/>
      <c r="D1115" s="127"/>
      <c r="E1115" s="127"/>
      <c r="F1115" s="127"/>
      <c r="G1115" s="127"/>
      <c r="H1115" s="127"/>
      <c r="I1115" s="127"/>
    </row>
    <row r="1116" spans="1:9" x14ac:dyDescent="0.3">
      <c r="A1116" s="142"/>
      <c r="B1116" s="147"/>
      <c r="C1116" s="148"/>
      <c r="D1116" s="129"/>
      <c r="E1116" s="127"/>
      <c r="F1116" s="127"/>
      <c r="G1116" s="127"/>
      <c r="H1116" s="127"/>
      <c r="I1116" s="127"/>
    </row>
    <row r="1117" spans="1:9" x14ac:dyDescent="0.3">
      <c r="A1117" s="127"/>
      <c r="B1117" s="127"/>
      <c r="C1117" s="127"/>
      <c r="D1117" s="127"/>
      <c r="E1117" s="127"/>
      <c r="F1117" s="127"/>
      <c r="G1117" s="127"/>
      <c r="H1117" s="127"/>
      <c r="I1117" s="127"/>
    </row>
    <row r="1118" spans="1:9" x14ac:dyDescent="0.3">
      <c r="A1118" s="127"/>
      <c r="B1118" s="127"/>
      <c r="C1118" s="127"/>
      <c r="D1118" s="127"/>
      <c r="E1118" s="127"/>
      <c r="F1118" s="127"/>
      <c r="G1118" s="127"/>
      <c r="H1118" s="127"/>
      <c r="I1118" s="127"/>
    </row>
    <row r="1119" spans="1:9" x14ac:dyDescent="0.3">
      <c r="A1119" s="127"/>
      <c r="B1119" s="127"/>
      <c r="C1119" s="127"/>
      <c r="D1119" s="127"/>
      <c r="E1119" s="127"/>
      <c r="F1119" s="127"/>
      <c r="G1119" s="127"/>
      <c r="H1119" s="127"/>
      <c r="I1119" s="127"/>
    </row>
    <row r="1120" spans="1:9" x14ac:dyDescent="0.3">
      <c r="A1120" s="126"/>
      <c r="B1120" s="126"/>
      <c r="C1120" s="126"/>
      <c r="D1120" s="126"/>
      <c r="E1120" s="126"/>
      <c r="F1120" s="126"/>
      <c r="G1120" s="127"/>
      <c r="H1120" s="127"/>
      <c r="I1120" s="127"/>
    </row>
    <row r="1121" spans="1:9" x14ac:dyDescent="0.3">
      <c r="A1121" s="126"/>
      <c r="B1121" s="126"/>
      <c r="C1121" s="126"/>
      <c r="D1121" s="126"/>
      <c r="E1121" s="126"/>
      <c r="F1121" s="126"/>
      <c r="G1121" s="127"/>
      <c r="H1121" s="127"/>
      <c r="I1121" s="127"/>
    </row>
    <row r="1122" spans="1:9" ht="15.6" x14ac:dyDescent="0.3">
      <c r="A1122" s="139"/>
      <c r="B1122" s="139"/>
      <c r="C1122" s="139"/>
      <c r="D1122" s="139"/>
      <c r="E1122" s="139"/>
      <c r="F1122" s="139"/>
      <c r="G1122" s="127"/>
      <c r="H1122" s="127"/>
      <c r="I1122" s="127"/>
    </row>
    <row r="1123" spans="1:9" x14ac:dyDescent="0.3">
      <c r="A1123" s="140"/>
      <c r="B1123" s="140"/>
      <c r="C1123" s="140"/>
      <c r="D1123" s="141"/>
      <c r="E1123" s="140"/>
      <c r="F1123" s="140"/>
      <c r="G1123" s="127"/>
      <c r="H1123" s="127"/>
      <c r="I1123" s="127"/>
    </row>
    <row r="1124" spans="1:9" x14ac:dyDescent="0.3">
      <c r="A1124" s="136"/>
      <c r="B1124" s="136"/>
      <c r="C1124" s="136"/>
      <c r="D1124" s="142"/>
      <c r="E1124" s="142"/>
      <c r="F1124" s="142"/>
      <c r="G1124" s="127"/>
      <c r="H1124" s="127"/>
      <c r="I1124" s="127"/>
    </row>
    <row r="1125" spans="1:9" x14ac:dyDescent="0.3">
      <c r="A1125" s="136"/>
      <c r="B1125" s="136"/>
      <c r="C1125" s="136"/>
      <c r="D1125" s="142"/>
      <c r="E1125" s="142"/>
      <c r="F1125" s="142"/>
      <c r="G1125" s="127"/>
      <c r="H1125" s="127"/>
      <c r="I1125" s="127"/>
    </row>
    <row r="1126" spans="1:9" x14ac:dyDescent="0.3">
      <c r="A1126" s="136"/>
      <c r="B1126" s="136"/>
      <c r="C1126" s="136"/>
      <c r="D1126" s="142"/>
      <c r="E1126" s="142"/>
      <c r="F1126" s="142"/>
      <c r="G1126" s="127"/>
      <c r="H1126" s="127"/>
      <c r="I1126" s="127"/>
    </row>
    <row r="1127" spans="1:9" x14ac:dyDescent="0.3">
      <c r="A1127" s="136"/>
      <c r="B1127" s="136"/>
      <c r="C1127" s="136"/>
      <c r="D1127" s="142"/>
      <c r="E1127" s="142"/>
      <c r="F1127" s="142"/>
      <c r="G1127" s="127"/>
      <c r="H1127" s="127"/>
      <c r="I1127" s="127"/>
    </row>
    <row r="1128" spans="1:9" x14ac:dyDescent="0.3">
      <c r="A1128" s="136"/>
      <c r="B1128" s="136"/>
      <c r="C1128" s="142"/>
      <c r="D1128" s="142"/>
      <c r="E1128" s="142"/>
      <c r="F1128" s="142"/>
      <c r="G1128" s="127"/>
      <c r="H1128" s="127"/>
      <c r="I1128" s="127"/>
    </row>
    <row r="1129" spans="1:9" x14ac:dyDescent="0.3">
      <c r="A1129" s="136"/>
      <c r="B1129" s="136"/>
      <c r="C1129" s="142"/>
      <c r="D1129" s="131"/>
      <c r="E1129" s="142"/>
      <c r="F1129" s="142"/>
      <c r="G1129" s="127"/>
      <c r="H1129" s="127"/>
      <c r="I1129" s="127"/>
    </row>
    <row r="1130" spans="1:9" x14ac:dyDescent="0.3">
      <c r="A1130" s="136"/>
      <c r="B1130" s="136"/>
      <c r="C1130" s="142"/>
      <c r="D1130" s="131"/>
      <c r="E1130" s="142"/>
      <c r="F1130" s="142"/>
      <c r="G1130" s="127"/>
      <c r="H1130" s="127"/>
      <c r="I1130" s="127"/>
    </row>
    <row r="1131" spans="1:9" x14ac:dyDescent="0.3">
      <c r="A1131" s="136"/>
      <c r="B1131" s="136"/>
      <c r="C1131" s="142"/>
      <c r="D1131" s="144"/>
      <c r="E1131" s="142"/>
      <c r="F1131" s="128"/>
      <c r="G1131" s="129"/>
      <c r="H1131" s="127"/>
      <c r="I1131" s="127"/>
    </row>
    <row r="1132" spans="1:9" x14ac:dyDescent="0.3">
      <c r="A1132" s="136"/>
      <c r="B1132" s="136"/>
      <c r="C1132" s="142"/>
      <c r="D1132" s="126"/>
      <c r="E1132" s="126"/>
      <c r="F1132" s="126"/>
      <c r="G1132" s="127"/>
      <c r="H1132" s="127"/>
      <c r="I1132" s="127"/>
    </row>
    <row r="1133" spans="1:9" x14ac:dyDescent="0.3">
      <c r="A1133" s="136"/>
      <c r="B1133" s="136"/>
      <c r="C1133" s="142"/>
      <c r="D1133" s="126"/>
      <c r="E1133" s="126"/>
      <c r="F1133" s="126"/>
      <c r="G1133" s="127"/>
      <c r="H1133" s="127"/>
      <c r="I1133" s="127"/>
    </row>
    <row r="1134" spans="1:9" x14ac:dyDescent="0.3">
      <c r="A1134" s="126"/>
      <c r="B1134" s="126"/>
      <c r="C1134" s="126"/>
      <c r="D1134" s="126"/>
      <c r="E1134" s="126"/>
      <c r="F1134" s="126"/>
      <c r="G1134" s="127"/>
      <c r="H1134" s="127"/>
      <c r="I1134" s="127"/>
    </row>
    <row r="1135" spans="1:9" x14ac:dyDescent="0.3">
      <c r="A1135" s="126"/>
      <c r="B1135" s="126"/>
      <c r="C1135" s="126"/>
      <c r="D1135" s="126"/>
      <c r="E1135" s="126"/>
      <c r="F1135" s="126"/>
      <c r="G1135" s="127"/>
      <c r="H1135" s="127"/>
      <c r="I1135" s="127"/>
    </row>
    <row r="1136" spans="1:9" ht="15.6" x14ac:dyDescent="0.3">
      <c r="A1136" s="139"/>
      <c r="B1136" s="139"/>
      <c r="C1136" s="139"/>
      <c r="D1136" s="139"/>
      <c r="E1136" s="139"/>
      <c r="F1136" s="139"/>
      <c r="G1136" s="127"/>
      <c r="H1136" s="127"/>
      <c r="I1136" s="127"/>
    </row>
    <row r="1137" spans="1:9" x14ac:dyDescent="0.3">
      <c r="A1137" s="140"/>
      <c r="B1137" s="140"/>
      <c r="C1137" s="140"/>
      <c r="D1137" s="141"/>
      <c r="E1137" s="140"/>
      <c r="F1137" s="140"/>
      <c r="G1137" s="127"/>
      <c r="H1137" s="127"/>
      <c r="I1137" s="127"/>
    </row>
    <row r="1138" spans="1:9" x14ac:dyDescent="0.3">
      <c r="A1138" s="142"/>
      <c r="B1138" s="142"/>
      <c r="C1138" s="142"/>
      <c r="D1138" s="142"/>
      <c r="E1138" s="142"/>
      <c r="F1138" s="142"/>
      <c r="G1138" s="127"/>
      <c r="H1138" s="127"/>
      <c r="I1138" s="127"/>
    </row>
    <row r="1139" spans="1:9" x14ac:dyDescent="0.3">
      <c r="A1139" s="142"/>
      <c r="B1139" s="142"/>
      <c r="C1139" s="142"/>
      <c r="D1139" s="142"/>
      <c r="E1139" s="142"/>
      <c r="F1139" s="142"/>
      <c r="G1139" s="127"/>
      <c r="H1139" s="127"/>
      <c r="I1139" s="127"/>
    </row>
    <row r="1140" spans="1:9" x14ac:dyDescent="0.3">
      <c r="A1140" s="142"/>
      <c r="B1140" s="142"/>
      <c r="C1140" s="142"/>
      <c r="D1140" s="142"/>
      <c r="E1140" s="142"/>
      <c r="F1140" s="142"/>
      <c r="G1140" s="127"/>
      <c r="H1140" s="127"/>
      <c r="I1140" s="127"/>
    </row>
    <row r="1141" spans="1:9" x14ac:dyDescent="0.3">
      <c r="A1141" s="142"/>
      <c r="B1141" s="142"/>
      <c r="C1141" s="142"/>
      <c r="D1141" s="142"/>
      <c r="E1141" s="142"/>
      <c r="F1141" s="142"/>
      <c r="G1141" s="127"/>
      <c r="H1141" s="127"/>
      <c r="I1141" s="127"/>
    </row>
    <row r="1142" spans="1:9" x14ac:dyDescent="0.3">
      <c r="A1142" s="142"/>
      <c r="B1142" s="142"/>
      <c r="C1142" s="142"/>
      <c r="D1142" s="142"/>
      <c r="E1142" s="142"/>
      <c r="F1142" s="142"/>
      <c r="G1142" s="127"/>
      <c r="H1142" s="127"/>
      <c r="I1142" s="127"/>
    </row>
    <row r="1143" spans="1:9" x14ac:dyDescent="0.3">
      <c r="A1143" s="142"/>
      <c r="B1143" s="142"/>
      <c r="C1143" s="142"/>
      <c r="D1143" s="142"/>
      <c r="E1143" s="142"/>
      <c r="F1143" s="142"/>
      <c r="G1143" s="127"/>
      <c r="H1143" s="127"/>
      <c r="I1143" s="127"/>
    </row>
    <row r="1144" spans="1:9" x14ac:dyDescent="0.3">
      <c r="A1144" s="142"/>
      <c r="B1144" s="136"/>
      <c r="C1144" s="142"/>
      <c r="D1144" s="131"/>
      <c r="E1144" s="142"/>
      <c r="F1144" s="142"/>
      <c r="G1144" s="127"/>
      <c r="H1144" s="127"/>
      <c r="I1144" s="127"/>
    </row>
    <row r="1145" spans="1:9" x14ac:dyDescent="0.3">
      <c r="A1145" s="142"/>
      <c r="B1145" s="136"/>
      <c r="C1145" s="142"/>
      <c r="D1145" s="144"/>
      <c r="E1145" s="142"/>
      <c r="F1145" s="142"/>
      <c r="G1145" s="127"/>
      <c r="H1145" s="127"/>
      <c r="I1145" s="127"/>
    </row>
    <row r="1146" spans="1:9" x14ac:dyDescent="0.3">
      <c r="A1146" s="142"/>
      <c r="B1146" s="136"/>
      <c r="C1146" s="136"/>
      <c r="D1146" s="136"/>
      <c r="E1146" s="136"/>
      <c r="F1146" s="142"/>
      <c r="G1146" s="127"/>
      <c r="H1146" s="127"/>
      <c r="I1146" s="127"/>
    </row>
    <row r="1147" spans="1:9" x14ac:dyDescent="0.3">
      <c r="A1147" s="126"/>
      <c r="B1147" s="126"/>
      <c r="C1147" s="126"/>
      <c r="D1147" s="126"/>
      <c r="E1147" s="126"/>
      <c r="F1147" s="128"/>
      <c r="G1147" s="129"/>
      <c r="H1147" s="127"/>
      <c r="I1147" s="127"/>
    </row>
    <row r="1148" spans="1:9" x14ac:dyDescent="0.3">
      <c r="A1148" s="126"/>
      <c r="B1148" s="126"/>
      <c r="C1148" s="126"/>
      <c r="D1148" s="126"/>
      <c r="E1148" s="126"/>
      <c r="F1148" s="126"/>
      <c r="G1148" s="127"/>
      <c r="H1148" s="127"/>
      <c r="I1148" s="127"/>
    </row>
    <row r="1149" spans="1:9" x14ac:dyDescent="0.3">
      <c r="A1149" s="126"/>
      <c r="B1149" s="126"/>
      <c r="C1149" s="126"/>
      <c r="D1149" s="126"/>
      <c r="E1149" s="126"/>
      <c r="F1149" s="126"/>
      <c r="G1149" s="127"/>
      <c r="H1149" s="127"/>
      <c r="I1149" s="127"/>
    </row>
    <row r="1150" spans="1:9" x14ac:dyDescent="0.3">
      <c r="A1150" s="137"/>
      <c r="B1150" s="137"/>
      <c r="C1150" s="125"/>
      <c r="D1150" s="144"/>
      <c r="E1150" s="131"/>
      <c r="F1150" s="132"/>
      <c r="G1150" s="128"/>
      <c r="H1150" s="129"/>
      <c r="I1150" s="129"/>
    </row>
    <row r="1151" spans="1:9" x14ac:dyDescent="0.3">
      <c r="A1151" s="126"/>
      <c r="B1151" s="126"/>
      <c r="C1151" s="126"/>
      <c r="D1151" s="126"/>
      <c r="E1151" s="126"/>
      <c r="F1151" s="126"/>
      <c r="G1151" s="127"/>
      <c r="H1151" s="127"/>
      <c r="I1151" s="127"/>
    </row>
    <row r="1152" spans="1:9" x14ac:dyDescent="0.3">
      <c r="A1152" s="126"/>
      <c r="B1152" s="126"/>
      <c r="C1152" s="126"/>
      <c r="D1152" s="126"/>
      <c r="E1152" s="126"/>
      <c r="F1152" s="126"/>
      <c r="G1152" s="127"/>
      <c r="H1152" s="127"/>
      <c r="I1152" s="127"/>
    </row>
    <row r="1153" spans="1:9" x14ac:dyDescent="0.3">
      <c r="A1153" s="126"/>
      <c r="B1153" s="126"/>
      <c r="C1153" s="126"/>
      <c r="D1153" s="126"/>
      <c r="E1153" s="126"/>
      <c r="F1153" s="126"/>
      <c r="G1153" s="127"/>
      <c r="H1153" s="127"/>
      <c r="I1153" s="127"/>
    </row>
    <row r="1154" spans="1:9" x14ac:dyDescent="0.3">
      <c r="A1154" s="137"/>
      <c r="B1154" s="128"/>
      <c r="C1154" s="129"/>
      <c r="D1154" s="126"/>
      <c r="E1154" s="126"/>
      <c r="F1154" s="126"/>
      <c r="G1154" s="127"/>
      <c r="H1154" s="127"/>
      <c r="I1154" s="127"/>
    </row>
    <row r="1155" spans="1:9" x14ac:dyDescent="0.3">
      <c r="A1155" s="126"/>
      <c r="B1155" s="126"/>
      <c r="C1155" s="126"/>
      <c r="D1155" s="126"/>
      <c r="E1155" s="126"/>
      <c r="F1155" s="126"/>
      <c r="G1155" s="127"/>
      <c r="H1155" s="127"/>
      <c r="I1155" s="127"/>
    </row>
    <row r="1156" spans="1:9" x14ac:dyDescent="0.3">
      <c r="A1156" s="126"/>
      <c r="B1156" s="126"/>
      <c r="C1156" s="126"/>
      <c r="D1156" s="126"/>
      <c r="E1156" s="126"/>
      <c r="F1156" s="126"/>
      <c r="G1156" s="127"/>
      <c r="H1156" s="127"/>
      <c r="I1156" s="127"/>
    </row>
    <row r="1157" spans="1:9" x14ac:dyDescent="0.3">
      <c r="A1157" s="126"/>
      <c r="B1157" s="126"/>
      <c r="C1157" s="126"/>
      <c r="D1157" s="126"/>
      <c r="E1157" s="126"/>
      <c r="F1157" s="126"/>
      <c r="G1157" s="127"/>
      <c r="H1157" s="127"/>
      <c r="I1157" s="127"/>
    </row>
    <row r="1158" spans="1:9" ht="15.6" x14ac:dyDescent="0.3">
      <c r="A1158" s="139"/>
      <c r="B1158" s="139"/>
      <c r="C1158" s="139"/>
      <c r="D1158" s="139"/>
      <c r="E1158" s="139"/>
      <c r="F1158" s="139"/>
      <c r="G1158" s="127"/>
      <c r="H1158" s="127"/>
      <c r="I1158" s="127"/>
    </row>
    <row r="1159" spans="1:9" x14ac:dyDescent="0.3">
      <c r="A1159" s="140"/>
      <c r="B1159" s="140"/>
      <c r="C1159" s="140"/>
      <c r="D1159" s="141"/>
      <c r="E1159" s="140"/>
      <c r="F1159" s="140"/>
      <c r="G1159" s="127"/>
      <c r="H1159" s="127"/>
      <c r="I1159" s="127"/>
    </row>
    <row r="1160" spans="1:9" x14ac:dyDescent="0.3">
      <c r="A1160" s="142"/>
      <c r="B1160" s="142"/>
      <c r="C1160" s="142"/>
      <c r="D1160" s="142"/>
      <c r="E1160" s="142"/>
      <c r="F1160" s="142"/>
      <c r="G1160" s="127"/>
      <c r="H1160" s="127"/>
      <c r="I1160" s="127"/>
    </row>
    <row r="1161" spans="1:9" x14ac:dyDescent="0.3">
      <c r="A1161" s="142"/>
      <c r="B1161" s="142"/>
      <c r="C1161" s="142"/>
      <c r="D1161" s="142"/>
      <c r="E1161" s="142"/>
      <c r="F1161" s="142"/>
      <c r="G1161" s="127"/>
      <c r="H1161" s="127"/>
      <c r="I1161" s="127"/>
    </row>
    <row r="1162" spans="1:9" x14ac:dyDescent="0.3">
      <c r="A1162" s="142"/>
      <c r="B1162" s="142"/>
      <c r="C1162" s="142"/>
      <c r="D1162" s="142"/>
      <c r="E1162" s="142"/>
      <c r="F1162" s="142"/>
      <c r="G1162" s="127"/>
      <c r="H1162" s="127"/>
      <c r="I1162" s="127"/>
    </row>
    <row r="1163" spans="1:9" x14ac:dyDescent="0.3">
      <c r="A1163" s="142"/>
      <c r="B1163" s="142"/>
      <c r="C1163" s="142"/>
      <c r="D1163" s="142"/>
      <c r="E1163" s="142"/>
      <c r="F1163" s="142"/>
      <c r="G1163" s="127"/>
      <c r="H1163" s="127"/>
      <c r="I1163" s="127"/>
    </row>
    <row r="1164" spans="1:9" x14ac:dyDescent="0.3">
      <c r="A1164" s="142"/>
      <c r="B1164" s="142"/>
      <c r="C1164" s="142"/>
      <c r="D1164" s="142"/>
      <c r="E1164" s="142"/>
      <c r="F1164" s="142"/>
      <c r="G1164" s="127"/>
      <c r="H1164" s="127"/>
      <c r="I1164" s="127"/>
    </row>
    <row r="1165" spans="1:9" x14ac:dyDescent="0.3">
      <c r="A1165" s="142"/>
      <c r="B1165" s="142"/>
      <c r="C1165" s="142"/>
      <c r="D1165" s="142"/>
      <c r="E1165" s="142"/>
      <c r="F1165" s="142"/>
      <c r="G1165" s="127"/>
      <c r="H1165" s="127"/>
      <c r="I1165" s="127"/>
    </row>
    <row r="1166" spans="1:9" x14ac:dyDescent="0.3">
      <c r="A1166" s="136"/>
      <c r="B1166" s="136"/>
      <c r="C1166" s="136"/>
      <c r="D1166" s="142"/>
      <c r="E1166" s="142"/>
      <c r="F1166" s="142"/>
      <c r="G1166" s="127"/>
      <c r="H1166" s="127"/>
      <c r="I1166" s="127"/>
    </row>
    <row r="1167" spans="1:9" x14ac:dyDescent="0.3">
      <c r="A1167" s="136"/>
      <c r="B1167" s="136"/>
      <c r="C1167" s="136"/>
      <c r="D1167" s="142"/>
      <c r="E1167" s="142"/>
      <c r="F1167" s="142"/>
      <c r="G1167" s="127"/>
      <c r="H1167" s="127"/>
      <c r="I1167" s="127"/>
    </row>
    <row r="1168" spans="1:9" x14ac:dyDescent="0.3">
      <c r="A1168" s="136"/>
      <c r="B1168" s="136"/>
      <c r="C1168" s="136"/>
      <c r="D1168" s="142"/>
      <c r="E1168" s="142"/>
      <c r="F1168" s="142"/>
      <c r="G1168" s="127"/>
      <c r="H1168" s="127"/>
      <c r="I1168" s="127"/>
    </row>
    <row r="1169" spans="1:9" x14ac:dyDescent="0.3">
      <c r="A1169" s="136"/>
      <c r="B1169" s="136"/>
      <c r="C1169" s="136"/>
      <c r="D1169" s="142"/>
      <c r="E1169" s="142"/>
      <c r="F1169" s="142"/>
      <c r="G1169" s="127"/>
      <c r="H1169" s="127"/>
      <c r="I1169" s="127"/>
    </row>
    <row r="1170" spans="1:9" x14ac:dyDescent="0.3">
      <c r="A1170" s="136"/>
      <c r="B1170" s="136"/>
      <c r="C1170" s="142"/>
      <c r="D1170" s="142"/>
      <c r="E1170" s="142"/>
      <c r="F1170" s="142"/>
      <c r="G1170" s="127"/>
      <c r="H1170" s="127"/>
      <c r="I1170" s="127"/>
    </row>
    <row r="1171" spans="1:9" x14ac:dyDescent="0.3">
      <c r="A1171" s="142"/>
      <c r="B1171" s="136"/>
      <c r="C1171" s="142"/>
      <c r="D1171" s="131"/>
      <c r="E1171" s="142"/>
      <c r="F1171" s="142"/>
      <c r="G1171" s="127"/>
      <c r="H1171" s="127"/>
      <c r="I1171" s="127"/>
    </row>
    <row r="1172" spans="1:9" x14ac:dyDescent="0.3">
      <c r="A1172" s="142"/>
      <c r="B1172" s="136"/>
      <c r="C1172" s="142"/>
      <c r="D1172" s="144"/>
      <c r="E1172" s="142"/>
      <c r="F1172" s="142"/>
      <c r="G1172" s="127"/>
      <c r="H1172" s="127"/>
      <c r="I1172" s="127"/>
    </row>
    <row r="1173" spans="1:9" x14ac:dyDescent="0.3">
      <c r="A1173" s="142"/>
      <c r="B1173" s="136"/>
      <c r="C1173" s="136"/>
      <c r="D1173" s="136"/>
      <c r="E1173" s="136"/>
      <c r="F1173" s="142"/>
      <c r="G1173" s="127"/>
      <c r="H1173" s="127"/>
      <c r="I1173" s="127"/>
    </row>
    <row r="1174" spans="1:9" x14ac:dyDescent="0.3">
      <c r="A1174" s="100"/>
      <c r="B1174" s="100"/>
      <c r="C1174" s="100"/>
      <c r="D1174" s="100"/>
      <c r="E1174" s="100"/>
      <c r="F1174" s="128"/>
      <c r="G1174" s="129"/>
      <c r="H1174" s="127"/>
      <c r="I1174" s="127"/>
    </row>
    <row r="1175" spans="1:9" x14ac:dyDescent="0.3">
      <c r="A1175" s="126"/>
      <c r="B1175" s="126"/>
      <c r="C1175" s="126"/>
      <c r="D1175" s="126"/>
      <c r="E1175" s="126"/>
      <c r="F1175" s="126"/>
      <c r="G1175" s="127"/>
      <c r="H1175" s="127"/>
      <c r="I1175" s="127"/>
    </row>
    <row r="1176" spans="1:9" x14ac:dyDescent="0.3">
      <c r="A1176" s="126"/>
      <c r="B1176" s="126"/>
      <c r="C1176" s="126"/>
      <c r="D1176" s="126"/>
      <c r="E1176" s="126"/>
      <c r="F1176" s="126"/>
      <c r="G1176" s="127"/>
      <c r="H1176" s="127"/>
      <c r="I1176" s="127"/>
    </row>
    <row r="1177" spans="1:9" x14ac:dyDescent="0.3">
      <c r="A1177" s="126"/>
      <c r="B1177" s="126"/>
      <c r="C1177" s="126"/>
      <c r="D1177" s="126"/>
      <c r="E1177" s="126"/>
      <c r="F1177" s="126"/>
      <c r="G1177" s="127"/>
      <c r="H1177" s="127"/>
      <c r="I1177" s="127"/>
    </row>
    <row r="1178" spans="1:9" x14ac:dyDescent="0.3">
      <c r="A1178" s="126"/>
      <c r="B1178" s="126"/>
      <c r="C1178" s="126"/>
      <c r="D1178" s="126"/>
      <c r="E1178" s="126"/>
      <c r="F1178" s="126"/>
      <c r="G1178" s="127"/>
      <c r="H1178" s="127"/>
      <c r="I1178" s="127"/>
    </row>
    <row r="1179" spans="1:9" x14ac:dyDescent="0.3">
      <c r="A1179" s="130"/>
      <c r="B1179" s="130"/>
      <c r="C1179" s="130"/>
      <c r="D1179" s="130"/>
      <c r="E1179" s="127"/>
      <c r="F1179" s="126"/>
      <c r="G1179" s="127"/>
      <c r="H1179" s="127"/>
      <c r="I1179" s="127"/>
    </row>
    <row r="1180" spans="1:9" x14ac:dyDescent="0.3">
      <c r="A1180" s="142"/>
      <c r="B1180" s="142"/>
      <c r="C1180" s="142"/>
      <c r="D1180" s="142"/>
      <c r="E1180" s="126"/>
      <c r="F1180" s="126"/>
      <c r="G1180" s="127"/>
      <c r="H1180" s="127"/>
      <c r="I1180" s="127"/>
    </row>
    <row r="1181" spans="1:9" x14ac:dyDescent="0.3">
      <c r="A1181" s="142"/>
      <c r="B1181" s="142"/>
      <c r="C1181" s="142"/>
      <c r="D1181" s="142"/>
      <c r="E1181" s="126"/>
      <c r="F1181" s="126"/>
      <c r="G1181" s="127"/>
      <c r="H1181" s="127"/>
      <c r="I1181" s="127"/>
    </row>
    <row r="1182" spans="1:9" x14ac:dyDescent="0.3">
      <c r="A1182" s="142"/>
      <c r="B1182" s="142"/>
      <c r="C1182" s="142"/>
      <c r="D1182" s="142"/>
      <c r="E1182" s="126"/>
      <c r="F1182" s="126"/>
      <c r="G1182" s="127"/>
      <c r="H1182" s="127"/>
      <c r="I1182" s="127"/>
    </row>
    <row r="1183" spans="1:9" x14ac:dyDescent="0.3">
      <c r="A1183" s="126"/>
      <c r="B1183" s="126"/>
      <c r="C1183" s="127"/>
      <c r="D1183" s="128"/>
      <c r="E1183" s="129"/>
      <c r="F1183" s="126"/>
      <c r="G1183" s="127"/>
      <c r="H1183" s="127"/>
      <c r="I1183" s="127"/>
    </row>
    <row r="1184" spans="1:9" x14ac:dyDescent="0.3">
      <c r="A1184" s="126"/>
      <c r="B1184" s="126"/>
      <c r="C1184" s="126"/>
      <c r="D1184" s="126"/>
      <c r="E1184" s="126"/>
      <c r="F1184" s="126"/>
      <c r="G1184" s="127"/>
      <c r="H1184" s="127"/>
      <c r="I1184" s="127"/>
    </row>
    <row r="1185" spans="1:9" x14ac:dyDescent="0.3">
      <c r="A1185" s="126"/>
      <c r="B1185" s="126"/>
      <c r="C1185" s="126"/>
      <c r="D1185" s="126"/>
      <c r="E1185" s="126"/>
      <c r="F1185" s="126"/>
      <c r="G1185" s="127"/>
      <c r="H1185" s="127"/>
      <c r="I1185" s="127"/>
    </row>
    <row r="1186" spans="1:9" x14ac:dyDescent="0.3">
      <c r="A1186" s="126"/>
      <c r="B1186" s="126"/>
      <c r="C1186" s="126"/>
      <c r="D1186" s="126"/>
      <c r="E1186" s="126"/>
      <c r="F1186" s="126"/>
      <c r="G1186" s="127"/>
      <c r="H1186" s="127"/>
      <c r="I1186" s="127"/>
    </row>
    <row r="1187" spans="1:9" x14ac:dyDescent="0.3">
      <c r="A1187" s="126"/>
      <c r="B1187" s="126"/>
      <c r="C1187" s="126"/>
      <c r="D1187" s="126"/>
      <c r="E1187" s="126"/>
      <c r="F1187" s="126"/>
      <c r="G1187" s="127"/>
      <c r="H1187" s="127"/>
      <c r="I1187" s="127"/>
    </row>
    <row r="1188" spans="1:9" x14ac:dyDescent="0.3">
      <c r="A1188" s="130"/>
      <c r="B1188" s="130"/>
      <c r="C1188" s="130"/>
      <c r="D1188" s="130"/>
      <c r="E1188" s="126"/>
      <c r="F1188" s="126"/>
      <c r="G1188" s="127"/>
      <c r="H1188" s="127"/>
      <c r="I1188" s="127"/>
    </row>
    <row r="1189" spans="1:9" x14ac:dyDescent="0.3">
      <c r="A1189" s="131"/>
      <c r="B1189" s="131"/>
      <c r="C1189" s="142"/>
      <c r="D1189" s="142"/>
      <c r="E1189" s="126"/>
      <c r="F1189" s="126"/>
      <c r="G1189" s="127"/>
      <c r="H1189" s="127"/>
      <c r="I1189" s="127"/>
    </row>
    <row r="1190" spans="1:9" x14ac:dyDescent="0.3">
      <c r="A1190" s="131"/>
      <c r="B1190" s="131"/>
      <c r="C1190" s="142"/>
      <c r="D1190" s="142"/>
      <c r="E1190" s="126"/>
      <c r="F1190" s="126"/>
      <c r="G1190" s="127"/>
      <c r="H1190" s="127"/>
      <c r="I1190" s="127"/>
    </row>
    <row r="1191" spans="1:9" x14ac:dyDescent="0.3">
      <c r="A1191" s="131"/>
      <c r="B1191" s="131"/>
      <c r="C1191" s="142"/>
      <c r="D1191" s="142"/>
      <c r="E1191" s="126"/>
      <c r="F1191" s="126"/>
      <c r="G1191" s="127"/>
      <c r="H1191" s="127"/>
      <c r="I1191" s="127"/>
    </row>
    <row r="1192" spans="1:9" x14ac:dyDescent="0.3">
      <c r="A1192" s="131"/>
      <c r="B1192" s="131"/>
      <c r="C1192" s="142"/>
      <c r="D1192" s="142"/>
      <c r="E1192" s="126"/>
      <c r="F1192" s="126"/>
      <c r="G1192" s="127"/>
      <c r="H1192" s="127"/>
      <c r="I1192" s="127"/>
    </row>
    <row r="1193" spans="1:9" x14ac:dyDescent="0.3">
      <c r="A1193" s="125"/>
      <c r="B1193" s="125"/>
      <c r="C1193" s="142"/>
      <c r="D1193" s="142"/>
      <c r="E1193" s="126"/>
      <c r="F1193" s="126"/>
      <c r="G1193" s="127"/>
      <c r="H1193" s="127"/>
      <c r="I1193" s="127"/>
    </row>
    <row r="1194" spans="1:9" x14ac:dyDescent="0.3">
      <c r="A1194" s="125"/>
      <c r="B1194" s="125"/>
      <c r="C1194" s="142"/>
      <c r="D1194" s="142"/>
      <c r="E1194" s="126"/>
      <c r="F1194" s="126"/>
      <c r="G1194" s="127"/>
      <c r="H1194" s="127"/>
      <c r="I1194" s="127"/>
    </row>
    <row r="1195" spans="1:9" x14ac:dyDescent="0.3">
      <c r="A1195" s="125"/>
      <c r="B1195" s="125"/>
      <c r="C1195" s="142"/>
      <c r="D1195" s="142"/>
      <c r="E1195" s="126"/>
      <c r="F1195" s="126"/>
      <c r="G1195" s="127"/>
      <c r="H1195" s="127"/>
      <c r="I1195" s="127"/>
    </row>
    <row r="1196" spans="1:9" x14ac:dyDescent="0.3">
      <c r="A1196" s="125"/>
      <c r="B1196" s="125"/>
      <c r="C1196" s="142"/>
      <c r="D1196" s="142"/>
      <c r="E1196" s="126"/>
      <c r="F1196" s="126"/>
      <c r="G1196" s="127"/>
      <c r="H1196" s="127"/>
      <c r="I1196" s="127"/>
    </row>
    <row r="1197" spans="1:9" x14ac:dyDescent="0.3">
      <c r="A1197" s="125"/>
      <c r="B1197" s="125"/>
      <c r="C1197" s="142"/>
      <c r="D1197" s="142"/>
      <c r="E1197" s="126"/>
      <c r="F1197" s="126"/>
      <c r="G1197" s="127"/>
      <c r="H1197" s="127"/>
      <c r="I1197" s="127"/>
    </row>
    <row r="1198" spans="1:9" x14ac:dyDescent="0.3">
      <c r="A1198" s="125"/>
      <c r="B1198" s="125"/>
      <c r="C1198" s="142"/>
      <c r="D1198" s="142"/>
      <c r="E1198" s="126"/>
      <c r="F1198" s="126"/>
      <c r="G1198" s="127"/>
      <c r="H1198" s="127"/>
      <c r="I1198" s="127"/>
    </row>
    <row r="1199" spans="1:9" x14ac:dyDescent="0.3">
      <c r="A1199" s="125"/>
      <c r="B1199" s="125"/>
      <c r="C1199" s="142"/>
      <c r="D1199" s="142"/>
      <c r="E1199" s="126"/>
      <c r="F1199" s="126"/>
      <c r="G1199" s="127"/>
      <c r="H1199" s="127"/>
      <c r="I1199" s="127"/>
    </row>
    <row r="1200" spans="1:9" x14ac:dyDescent="0.3">
      <c r="A1200" s="125"/>
      <c r="B1200" s="125"/>
      <c r="C1200" s="142"/>
      <c r="D1200" s="128"/>
      <c r="E1200" s="129"/>
      <c r="F1200" s="126"/>
      <c r="G1200" s="127"/>
      <c r="H1200" s="127"/>
      <c r="I1200" s="127"/>
    </row>
    <row r="1201" spans="1:9" x14ac:dyDescent="0.3">
      <c r="A1201" s="125"/>
      <c r="B1201" s="125"/>
      <c r="C1201" s="142"/>
      <c r="D1201" s="142"/>
      <c r="E1201" s="126"/>
      <c r="F1201" s="126"/>
      <c r="G1201" s="127"/>
      <c r="H1201" s="127"/>
      <c r="I1201" s="127"/>
    </row>
    <row r="1202" spans="1:9" x14ac:dyDescent="0.3">
      <c r="A1202" s="125"/>
      <c r="B1202" s="125"/>
      <c r="C1202" s="142"/>
      <c r="D1202" s="142"/>
      <c r="E1202" s="126"/>
      <c r="F1202" s="126"/>
      <c r="G1202" s="127"/>
      <c r="H1202" s="127"/>
      <c r="I1202" s="127"/>
    </row>
    <row r="1203" spans="1:9" x14ac:dyDescent="0.3">
      <c r="A1203" s="126"/>
      <c r="B1203" s="126"/>
      <c r="C1203" s="126"/>
      <c r="D1203" s="126"/>
      <c r="E1203" s="126"/>
      <c r="F1203" s="126"/>
      <c r="G1203" s="127"/>
      <c r="H1203" s="127"/>
      <c r="I1203" s="127"/>
    </row>
    <row r="1204" spans="1:9" x14ac:dyDescent="0.3">
      <c r="A1204" s="126"/>
      <c r="B1204" s="126"/>
      <c r="C1204" s="126"/>
      <c r="D1204" s="126"/>
      <c r="E1204" s="126"/>
      <c r="F1204" s="126"/>
      <c r="G1204" s="127"/>
      <c r="H1204" s="127"/>
      <c r="I1204" s="127"/>
    </row>
    <row r="1205" spans="1:9" x14ac:dyDescent="0.3">
      <c r="A1205" s="126"/>
      <c r="B1205" s="126"/>
      <c r="C1205" s="126"/>
      <c r="D1205" s="126"/>
      <c r="E1205" s="126"/>
      <c r="F1205" s="126"/>
      <c r="G1205" s="127"/>
      <c r="H1205" s="127"/>
      <c r="I1205" s="127"/>
    </row>
    <row r="1206" spans="1:9" x14ac:dyDescent="0.3">
      <c r="A1206" s="130"/>
      <c r="B1206" s="129"/>
      <c r="C1206" s="126"/>
      <c r="D1206" s="126"/>
      <c r="E1206" s="126"/>
      <c r="F1206" s="126"/>
      <c r="G1206" s="127"/>
      <c r="H1206" s="127"/>
      <c r="I1206" s="127"/>
    </row>
    <row r="1207" spans="1:9" x14ac:dyDescent="0.3">
      <c r="A1207" s="131"/>
      <c r="B1207" s="129"/>
      <c r="C1207" s="126"/>
      <c r="D1207" s="126"/>
      <c r="E1207" s="126"/>
      <c r="F1207" s="126"/>
      <c r="G1207" s="127"/>
      <c r="H1207" s="127"/>
      <c r="I1207" s="127"/>
    </row>
    <row r="1208" spans="1:9" x14ac:dyDescent="0.3">
      <c r="A1208" s="131"/>
      <c r="B1208" s="129"/>
      <c r="C1208" s="126"/>
      <c r="D1208" s="126"/>
      <c r="E1208" s="126"/>
      <c r="F1208" s="126"/>
      <c r="G1208" s="127"/>
      <c r="H1208" s="127"/>
      <c r="I1208" s="127"/>
    </row>
    <row r="1209" spans="1:9" x14ac:dyDescent="0.3">
      <c r="A1209" s="131"/>
      <c r="B1209" s="129"/>
      <c r="C1209" s="126"/>
      <c r="D1209" s="126"/>
      <c r="E1209" s="126"/>
      <c r="F1209" s="126"/>
      <c r="G1209" s="127"/>
      <c r="H1209" s="127"/>
      <c r="I1209" s="127"/>
    </row>
    <row r="1210" spans="1:9" x14ac:dyDescent="0.3">
      <c r="A1210" s="131"/>
      <c r="B1210" s="129"/>
      <c r="C1210" s="126"/>
      <c r="D1210" s="126"/>
      <c r="E1210" s="126"/>
      <c r="F1210" s="126"/>
      <c r="G1210" s="127"/>
      <c r="H1210" s="127"/>
      <c r="I1210" s="127"/>
    </row>
    <row r="1211" spans="1:9" x14ac:dyDescent="0.3">
      <c r="A1211" s="131"/>
      <c r="B1211" s="129"/>
      <c r="C1211" s="126"/>
      <c r="D1211" s="126"/>
      <c r="E1211" s="126"/>
      <c r="F1211" s="126"/>
      <c r="G1211" s="127"/>
      <c r="H1211" s="127"/>
      <c r="I1211" s="127"/>
    </row>
    <row r="1212" spans="1:9" x14ac:dyDescent="0.3">
      <c r="A1212" s="131"/>
      <c r="B1212" s="129"/>
      <c r="C1212" s="126"/>
      <c r="D1212" s="126"/>
      <c r="E1212" s="126"/>
      <c r="F1212" s="126"/>
      <c r="G1212" s="127"/>
      <c r="H1212" s="127"/>
      <c r="I1212" s="127"/>
    </row>
    <row r="1213" spans="1:9" x14ac:dyDescent="0.3">
      <c r="A1213" s="131"/>
      <c r="B1213" s="129"/>
      <c r="C1213" s="126"/>
      <c r="D1213" s="126"/>
      <c r="E1213" s="126"/>
      <c r="F1213" s="126"/>
      <c r="G1213" s="127"/>
      <c r="H1213" s="127"/>
      <c r="I1213" s="127"/>
    </row>
    <row r="1214" spans="1:9" x14ac:dyDescent="0.3">
      <c r="A1214" s="131"/>
      <c r="B1214" s="129"/>
      <c r="C1214" s="126"/>
      <c r="D1214" s="126"/>
      <c r="E1214" s="126"/>
      <c r="F1214" s="126"/>
      <c r="G1214" s="127"/>
      <c r="H1214" s="127"/>
      <c r="I1214" s="127"/>
    </row>
    <row r="1215" spans="1:9" x14ac:dyDescent="0.3">
      <c r="A1215" s="131"/>
      <c r="B1215" s="129"/>
      <c r="C1215" s="126"/>
      <c r="D1215" s="126"/>
      <c r="E1215" s="126"/>
      <c r="F1215" s="126"/>
      <c r="G1215" s="127"/>
      <c r="H1215" s="127"/>
      <c r="I1215" s="127"/>
    </row>
    <row r="1216" spans="1:9" x14ac:dyDescent="0.3">
      <c r="A1216" s="131"/>
      <c r="B1216" s="129"/>
      <c r="C1216" s="126"/>
      <c r="D1216" s="126"/>
      <c r="E1216" s="126"/>
      <c r="F1216" s="126"/>
      <c r="G1216" s="127"/>
      <c r="H1216" s="127"/>
      <c r="I1216" s="127"/>
    </row>
    <row r="1217" spans="1:9" x14ac:dyDescent="0.3">
      <c r="A1217" s="131"/>
      <c r="B1217" s="129"/>
      <c r="C1217" s="126"/>
      <c r="D1217" s="126"/>
      <c r="E1217" s="126"/>
      <c r="F1217" s="126"/>
      <c r="G1217" s="127"/>
      <c r="H1217" s="127"/>
      <c r="I1217" s="127"/>
    </row>
    <row r="1218" spans="1:9" x14ac:dyDescent="0.3">
      <c r="A1218" s="131"/>
      <c r="B1218" s="129"/>
      <c r="C1218" s="126"/>
      <c r="D1218" s="126"/>
      <c r="E1218" s="126"/>
      <c r="F1218" s="126"/>
      <c r="G1218" s="127"/>
      <c r="H1218" s="127"/>
      <c r="I1218" s="127"/>
    </row>
    <row r="1219" spans="1:9" x14ac:dyDescent="0.3">
      <c r="A1219" s="131"/>
      <c r="B1219" s="129"/>
      <c r="C1219" s="126"/>
      <c r="D1219" s="126"/>
      <c r="E1219" s="126"/>
      <c r="F1219" s="126"/>
      <c r="G1219" s="127"/>
      <c r="H1219" s="127"/>
      <c r="I1219" s="127"/>
    </row>
    <row r="1220" spans="1:9" x14ac:dyDescent="0.3">
      <c r="A1220" s="131"/>
      <c r="B1220" s="129"/>
      <c r="C1220" s="126"/>
      <c r="D1220" s="126"/>
      <c r="E1220" s="126"/>
      <c r="F1220" s="126"/>
      <c r="G1220" s="127"/>
      <c r="H1220" s="127"/>
      <c r="I1220" s="127"/>
    </row>
    <row r="1221" spans="1:9" x14ac:dyDescent="0.3">
      <c r="A1221" s="131"/>
      <c r="B1221" s="129"/>
      <c r="C1221" s="126"/>
      <c r="D1221" s="126"/>
      <c r="E1221" s="126"/>
      <c r="F1221" s="126"/>
      <c r="G1221" s="127"/>
      <c r="H1221" s="127"/>
      <c r="I1221" s="127"/>
    </row>
    <row r="1222" spans="1:9" x14ac:dyDescent="0.3">
      <c r="A1222" s="131"/>
      <c r="B1222" s="129"/>
      <c r="C1222" s="126"/>
      <c r="D1222" s="126"/>
      <c r="E1222" s="126"/>
      <c r="F1222" s="126"/>
      <c r="G1222" s="127"/>
      <c r="H1222" s="127"/>
      <c r="I1222" s="127"/>
    </row>
    <row r="1223" spans="1:9" x14ac:dyDescent="0.3">
      <c r="A1223" s="131"/>
      <c r="B1223" s="129"/>
      <c r="C1223" s="126"/>
      <c r="D1223" s="126"/>
      <c r="E1223" s="126"/>
      <c r="F1223" s="126"/>
      <c r="G1223" s="127"/>
      <c r="H1223" s="127"/>
      <c r="I1223" s="127"/>
    </row>
    <row r="1224" spans="1:9" x14ac:dyDescent="0.3">
      <c r="A1224" s="131"/>
      <c r="B1224" s="129"/>
      <c r="C1224" s="126"/>
      <c r="D1224" s="126"/>
      <c r="E1224" s="126"/>
      <c r="F1224" s="126"/>
      <c r="G1224" s="127"/>
      <c r="H1224" s="127"/>
      <c r="I1224" s="127"/>
    </row>
    <row r="1225" spans="1:9" x14ac:dyDescent="0.3">
      <c r="A1225" s="125"/>
      <c r="B1225" s="129"/>
      <c r="C1225" s="126"/>
      <c r="D1225" s="126"/>
      <c r="E1225" s="126"/>
      <c r="F1225" s="126"/>
      <c r="G1225" s="127"/>
      <c r="H1225" s="127"/>
      <c r="I1225" s="127"/>
    </row>
    <row r="1226" spans="1:9" x14ac:dyDescent="0.3">
      <c r="A1226" s="125"/>
      <c r="B1226" s="129"/>
      <c r="C1226" s="126"/>
      <c r="D1226" s="126"/>
      <c r="E1226" s="126"/>
      <c r="F1226" s="126"/>
      <c r="G1226" s="127"/>
      <c r="H1226" s="127"/>
      <c r="I1226" s="127"/>
    </row>
    <row r="1227" spans="1:9" x14ac:dyDescent="0.3">
      <c r="A1227" s="125"/>
      <c r="B1227" s="129"/>
      <c r="C1227" s="129"/>
      <c r="D1227" s="126"/>
      <c r="E1227" s="126"/>
      <c r="F1227" s="126"/>
      <c r="G1227" s="127"/>
      <c r="H1227" s="127"/>
      <c r="I1227" s="127"/>
    </row>
    <row r="1228" spans="1:9" x14ac:dyDescent="0.3">
      <c r="A1228" s="128"/>
      <c r="B1228" s="129"/>
      <c r="C1228" s="126"/>
      <c r="D1228" s="126"/>
      <c r="E1228" s="126"/>
      <c r="F1228" s="126"/>
      <c r="G1228" s="127"/>
      <c r="H1228" s="127"/>
      <c r="I1228" s="127"/>
    </row>
    <row r="1229" spans="1:9" x14ac:dyDescent="0.3">
      <c r="A1229" s="137"/>
      <c r="B1229" s="128"/>
      <c r="C1229" s="126"/>
      <c r="D1229" s="126"/>
      <c r="E1229" s="126"/>
      <c r="F1229" s="126"/>
      <c r="G1229" s="127"/>
      <c r="H1229" s="127"/>
      <c r="I1229" s="127"/>
    </row>
    <row r="1230" spans="1:9" x14ac:dyDescent="0.3">
      <c r="A1230" s="126"/>
      <c r="B1230" s="126"/>
      <c r="C1230" s="126"/>
      <c r="D1230" s="126"/>
      <c r="E1230" s="126"/>
      <c r="F1230" s="126"/>
      <c r="G1230" s="127"/>
      <c r="H1230" s="127"/>
      <c r="I1230" s="127"/>
    </row>
    <row r="1231" spans="1:9" x14ac:dyDescent="0.3">
      <c r="A1231" s="126"/>
      <c r="B1231" s="126"/>
      <c r="C1231" s="126"/>
      <c r="D1231" s="126"/>
      <c r="E1231" s="126"/>
      <c r="F1231" s="126"/>
      <c r="G1231" s="127"/>
      <c r="H1231" s="127"/>
      <c r="I1231" s="127"/>
    </row>
    <row r="1232" spans="1:9" x14ac:dyDescent="0.3">
      <c r="A1232" s="126"/>
      <c r="B1232" s="126"/>
      <c r="C1232" s="126"/>
      <c r="D1232" s="126"/>
      <c r="E1232" s="126"/>
      <c r="F1232" s="126"/>
      <c r="G1232" s="127"/>
      <c r="H1232" s="127"/>
      <c r="I1232" s="127"/>
    </row>
    <row r="1233" spans="1:9" x14ac:dyDescent="0.3">
      <c r="A1233" s="130"/>
      <c r="B1233" s="129"/>
      <c r="C1233" s="126"/>
      <c r="D1233" s="126"/>
      <c r="E1233" s="126"/>
      <c r="F1233" s="126"/>
      <c r="G1233" s="127"/>
      <c r="H1233" s="127"/>
      <c r="I1233" s="127"/>
    </row>
    <row r="1234" spans="1:9" x14ac:dyDescent="0.3">
      <c r="A1234" s="131"/>
      <c r="B1234" s="129"/>
      <c r="C1234" s="126"/>
      <c r="D1234" s="126"/>
      <c r="E1234" s="126"/>
      <c r="F1234" s="126"/>
      <c r="G1234" s="127"/>
      <c r="H1234" s="127"/>
      <c r="I1234" s="127"/>
    </row>
    <row r="1235" spans="1:9" x14ac:dyDescent="0.3">
      <c r="A1235" s="128"/>
      <c r="B1235" s="129"/>
      <c r="C1235" s="126"/>
      <c r="D1235" s="126"/>
      <c r="E1235" s="126"/>
      <c r="F1235" s="126"/>
      <c r="G1235" s="127"/>
      <c r="H1235" s="127"/>
      <c r="I1235" s="127"/>
    </row>
    <row r="1236" spans="1:9" x14ac:dyDescent="0.3">
      <c r="A1236" s="126"/>
      <c r="B1236" s="126"/>
      <c r="C1236" s="126"/>
      <c r="D1236" s="126"/>
      <c r="E1236" s="126"/>
      <c r="F1236" s="126"/>
      <c r="G1236" s="127"/>
      <c r="H1236" s="127"/>
      <c r="I1236" s="127"/>
    </row>
    <row r="1237" spans="1:9" x14ac:dyDescent="0.3">
      <c r="A1237" s="126"/>
      <c r="B1237" s="126"/>
      <c r="C1237" s="126"/>
      <c r="D1237" s="126"/>
      <c r="E1237" s="126"/>
      <c r="F1237" s="126"/>
      <c r="G1237" s="127"/>
      <c r="H1237" s="127"/>
      <c r="I1237" s="127"/>
    </row>
    <row r="1238" spans="1:9" ht="15.6" x14ac:dyDescent="0.3">
      <c r="A1238" s="149"/>
      <c r="B1238" s="149"/>
      <c r="C1238" s="149"/>
      <c r="D1238" s="149"/>
      <c r="E1238" s="149"/>
      <c r="F1238" s="127"/>
      <c r="G1238" s="127"/>
      <c r="H1238" s="127"/>
      <c r="I1238" s="127"/>
    </row>
    <row r="1239" spans="1:9" x14ac:dyDescent="0.3">
      <c r="A1239" s="126"/>
      <c r="B1239" s="126"/>
      <c r="C1239" s="127"/>
      <c r="D1239" s="127"/>
      <c r="E1239" s="127"/>
      <c r="F1239" s="127"/>
      <c r="G1239" s="127"/>
      <c r="H1239" s="127"/>
      <c r="I1239" s="127"/>
    </row>
    <row r="1240" spans="1:9" x14ac:dyDescent="0.3">
      <c r="A1240" s="137"/>
      <c r="B1240" s="126"/>
      <c r="C1240" s="127"/>
      <c r="D1240" s="127"/>
      <c r="E1240" s="127"/>
      <c r="F1240" s="127"/>
      <c r="G1240" s="127"/>
      <c r="H1240" s="127"/>
      <c r="I1240" s="127"/>
    </row>
    <row r="1241" spans="1:9" x14ac:dyDescent="0.3">
      <c r="A1241" s="126"/>
      <c r="B1241" s="126"/>
      <c r="C1241" s="127"/>
      <c r="D1241" s="127"/>
      <c r="E1241" s="127"/>
      <c r="F1241" s="127"/>
      <c r="G1241" s="127"/>
      <c r="H1241" s="127"/>
      <c r="I1241" s="127"/>
    </row>
    <row r="1242" spans="1:9" x14ac:dyDescent="0.3">
      <c r="A1242" s="127"/>
      <c r="B1242" s="127"/>
      <c r="C1242" s="127"/>
      <c r="D1242" s="127"/>
      <c r="E1242" s="127"/>
      <c r="F1242" s="127"/>
      <c r="G1242" s="127"/>
      <c r="H1242" s="127"/>
      <c r="I1242" s="127"/>
    </row>
    <row r="1243" spans="1:9" x14ac:dyDescent="0.3">
      <c r="A1243" s="127"/>
      <c r="B1243" s="127"/>
      <c r="C1243" s="150"/>
      <c r="D1243" s="150"/>
      <c r="E1243" s="127"/>
      <c r="F1243" s="127"/>
      <c r="G1243" s="127"/>
      <c r="H1243" s="127"/>
      <c r="I1243" s="127"/>
    </row>
    <row r="1244" spans="1:9" x14ac:dyDescent="0.3">
      <c r="A1244" s="127"/>
      <c r="B1244" s="127"/>
      <c r="C1244" s="150"/>
      <c r="D1244" s="150"/>
      <c r="E1244" s="127"/>
      <c r="F1244" s="127"/>
      <c r="G1244" s="127"/>
      <c r="H1244" s="127"/>
      <c r="I1244" s="127"/>
    </row>
    <row r="1245" spans="1:9" x14ac:dyDescent="0.3">
      <c r="A1245" s="127"/>
      <c r="B1245" s="127"/>
      <c r="C1245" s="142"/>
      <c r="D1245" s="142"/>
      <c r="E1245" s="127"/>
      <c r="F1245" s="127"/>
      <c r="G1245" s="127"/>
      <c r="H1245" s="127"/>
      <c r="I1245" s="127"/>
    </row>
    <row r="1246" spans="1:9" x14ac:dyDescent="0.3">
      <c r="A1246" s="150"/>
      <c r="B1246" s="150"/>
      <c r="C1246" s="142"/>
      <c r="D1246" s="142"/>
      <c r="E1246" s="127"/>
      <c r="F1246" s="127"/>
      <c r="G1246" s="127"/>
      <c r="H1246" s="127"/>
      <c r="I1246" s="127"/>
    </row>
    <row r="1247" spans="1:9" x14ac:dyDescent="0.3">
      <c r="A1247" s="150"/>
      <c r="B1247" s="150"/>
      <c r="C1247" s="127"/>
      <c r="D1247" s="127"/>
      <c r="E1247" s="127"/>
      <c r="F1247" s="127"/>
      <c r="G1247" s="127"/>
      <c r="H1247" s="127"/>
      <c r="I1247" s="127"/>
    </row>
    <row r="1248" spans="1:9" x14ac:dyDescent="0.3">
      <c r="A1248" s="142"/>
      <c r="B1248" s="142"/>
      <c r="C1248" s="127"/>
      <c r="D1248" s="127"/>
      <c r="E1248" s="127"/>
      <c r="F1248" s="127"/>
      <c r="G1248" s="127"/>
      <c r="H1248" s="127"/>
      <c r="I1248" s="127"/>
    </row>
    <row r="1249" spans="1:9" x14ac:dyDescent="0.3">
      <c r="A1249" s="142"/>
      <c r="B1249" s="142"/>
      <c r="C1249" s="127"/>
      <c r="D1249" s="127"/>
      <c r="E1249" s="127"/>
      <c r="F1249" s="127"/>
      <c r="G1249" s="127"/>
      <c r="H1249" s="127"/>
      <c r="I1249" s="127"/>
    </row>
    <row r="1250" spans="1:9" x14ac:dyDescent="0.3">
      <c r="A1250" s="127"/>
      <c r="B1250" s="127"/>
      <c r="C1250" s="127"/>
      <c r="D1250" s="127"/>
      <c r="E1250" s="127"/>
      <c r="F1250" s="127"/>
      <c r="G1250" s="127"/>
      <c r="H1250" s="127"/>
      <c r="I1250" s="127"/>
    </row>
    <row r="1251" spans="1:9" x14ac:dyDescent="0.3">
      <c r="A1251" s="127"/>
      <c r="B1251" s="127"/>
      <c r="C1251" s="127"/>
      <c r="D1251" s="127"/>
      <c r="E1251" s="127"/>
      <c r="F1251" s="127"/>
      <c r="G1251" s="127"/>
      <c r="H1251" s="127"/>
      <c r="I1251" s="127"/>
    </row>
    <row r="1252" spans="1:9" x14ac:dyDescent="0.3">
      <c r="A1252" s="127"/>
      <c r="B1252" s="127"/>
      <c r="C1252" s="127"/>
      <c r="D1252" s="127"/>
      <c r="E1252" s="127"/>
      <c r="F1252" s="127"/>
      <c r="G1252" s="127"/>
      <c r="H1252" s="127"/>
      <c r="I1252" s="127"/>
    </row>
    <row r="1253" spans="1:9" x14ac:dyDescent="0.3">
      <c r="A1253" s="127"/>
      <c r="B1253" s="127"/>
      <c r="C1253" s="127"/>
      <c r="D1253" s="127"/>
      <c r="E1253" s="127"/>
      <c r="F1253" s="127"/>
      <c r="G1253" s="127"/>
      <c r="H1253" s="127"/>
      <c r="I1253" s="127"/>
    </row>
    <row r="1254" spans="1:9" x14ac:dyDescent="0.3">
      <c r="A1254" s="127"/>
      <c r="B1254" s="127"/>
      <c r="C1254" s="127"/>
      <c r="D1254" s="127"/>
      <c r="E1254" s="127"/>
      <c r="F1254" s="127"/>
      <c r="G1254" s="127"/>
      <c r="H1254" s="127"/>
      <c r="I1254" s="127"/>
    </row>
    <row r="1255" spans="1:9" x14ac:dyDescent="0.3">
      <c r="A1255" s="127"/>
      <c r="B1255" s="127"/>
      <c r="C1255" s="127"/>
      <c r="D1255" s="127"/>
      <c r="E1255" s="127"/>
      <c r="F1255" s="127"/>
      <c r="G1255" s="127"/>
      <c r="H1255" s="127"/>
      <c r="I1255" s="127"/>
    </row>
    <row r="1256" spans="1:9" x14ac:dyDescent="0.3">
      <c r="A1256" s="127"/>
      <c r="B1256" s="127"/>
      <c r="C1256" s="127"/>
      <c r="D1256" s="127"/>
      <c r="E1256" s="127"/>
      <c r="F1256" s="127"/>
      <c r="G1256" s="127"/>
      <c r="H1256" s="127"/>
      <c r="I1256" s="127"/>
    </row>
    <row r="1257" spans="1:9" x14ac:dyDescent="0.3">
      <c r="A1257" s="127"/>
      <c r="B1257" s="127"/>
      <c r="C1257" s="127"/>
      <c r="D1257" s="127"/>
      <c r="E1257" s="127"/>
      <c r="F1257" s="127"/>
      <c r="G1257" s="127"/>
      <c r="H1257" s="127"/>
      <c r="I1257" s="127"/>
    </row>
    <row r="1258" spans="1:9" x14ac:dyDescent="0.3">
      <c r="A1258" s="127"/>
      <c r="B1258" s="127"/>
      <c r="C1258" s="127"/>
      <c r="D1258" s="127"/>
      <c r="E1258" s="127"/>
      <c r="F1258" s="127"/>
      <c r="G1258" s="127"/>
      <c r="H1258" s="127"/>
      <c r="I1258" s="127"/>
    </row>
    <row r="1259" spans="1:9" x14ac:dyDescent="0.3">
      <c r="A1259" s="127"/>
      <c r="B1259" s="127"/>
      <c r="C1259" s="127"/>
      <c r="D1259" s="127"/>
      <c r="E1259" s="127"/>
      <c r="F1259" s="127"/>
      <c r="G1259" s="127"/>
      <c r="H1259" s="127"/>
      <c r="I1259" s="127"/>
    </row>
    <row r="1260" spans="1:9" x14ac:dyDescent="0.3">
      <c r="A1260" s="127"/>
      <c r="B1260" s="127"/>
      <c r="C1260" s="127"/>
      <c r="D1260" s="127"/>
      <c r="E1260" s="127"/>
      <c r="F1260" s="127"/>
      <c r="G1260" s="127"/>
      <c r="H1260" s="127"/>
      <c r="I1260" s="127"/>
    </row>
    <row r="1261" spans="1:9" x14ac:dyDescent="0.3">
      <c r="A1261" s="127"/>
      <c r="B1261" s="127"/>
      <c r="C1261" s="127"/>
      <c r="D1261" s="127"/>
      <c r="E1261" s="127"/>
      <c r="F1261" s="127"/>
      <c r="G1261" s="127"/>
      <c r="H1261" s="127"/>
      <c r="I1261" s="127"/>
    </row>
    <row r="1262" spans="1:9" x14ac:dyDescent="0.3">
      <c r="A1262" s="127"/>
      <c r="B1262" s="127"/>
      <c r="C1262" s="127"/>
      <c r="D1262" s="127"/>
      <c r="E1262" s="127"/>
      <c r="F1262" s="127"/>
      <c r="G1262" s="127"/>
      <c r="H1262" s="127"/>
      <c r="I1262" s="127"/>
    </row>
    <row r="1263" spans="1:9" x14ac:dyDescent="0.3">
      <c r="A1263" s="127"/>
      <c r="B1263" s="127"/>
      <c r="C1263" s="127"/>
      <c r="D1263" s="127"/>
      <c r="E1263" s="127"/>
      <c r="F1263" s="127"/>
      <c r="G1263" s="127"/>
      <c r="H1263" s="127"/>
      <c r="I1263" s="127"/>
    </row>
    <row r="1264" spans="1:9" x14ac:dyDescent="0.3">
      <c r="A1264" s="127"/>
      <c r="B1264" s="127"/>
      <c r="C1264" s="127"/>
      <c r="D1264" s="127"/>
      <c r="E1264" s="127"/>
      <c r="F1264" s="127"/>
      <c r="G1264" s="127"/>
      <c r="H1264" s="127"/>
      <c r="I1264" s="127"/>
    </row>
    <row r="1265" spans="1:9" x14ac:dyDescent="0.3">
      <c r="A1265" s="127"/>
      <c r="B1265" s="127"/>
      <c r="C1265" s="127"/>
      <c r="D1265" s="127"/>
      <c r="E1265" s="127"/>
      <c r="F1265" s="127"/>
      <c r="G1265" s="127"/>
      <c r="H1265" s="127"/>
      <c r="I1265" s="127"/>
    </row>
    <row r="1266" spans="1:9" x14ac:dyDescent="0.3">
      <c r="A1266" s="127"/>
      <c r="B1266" s="127"/>
      <c r="C1266" s="137"/>
      <c r="D1266" s="137"/>
      <c r="E1266" s="137"/>
      <c r="F1266" s="137"/>
      <c r="G1266" s="127"/>
      <c r="H1266" s="127"/>
      <c r="I1266" s="127"/>
    </row>
    <row r="1267" spans="1:9" x14ac:dyDescent="0.3">
      <c r="A1267" s="151"/>
      <c r="B1267" s="127"/>
      <c r="C1267" s="144"/>
      <c r="D1267" s="144"/>
      <c r="E1267" s="144"/>
      <c r="F1267" s="144"/>
      <c r="G1267" s="127"/>
      <c r="H1267" s="127"/>
      <c r="I1267" s="127"/>
    </row>
    <row r="1268" spans="1:9" x14ac:dyDescent="0.3">
      <c r="A1268" s="127"/>
      <c r="B1268" s="127"/>
      <c r="C1268" s="131"/>
      <c r="D1268" s="131"/>
      <c r="E1268" s="131"/>
      <c r="F1268" s="131"/>
      <c r="G1268" s="127"/>
      <c r="H1268" s="127"/>
      <c r="I1268" s="127"/>
    </row>
    <row r="1269" spans="1:9" x14ac:dyDescent="0.3">
      <c r="A1269" s="137"/>
      <c r="B1269" s="137"/>
      <c r="C1269" s="131"/>
      <c r="D1269" s="131"/>
      <c r="E1269" s="131"/>
      <c r="F1269" s="131"/>
      <c r="G1269" s="127"/>
      <c r="H1269" s="127"/>
      <c r="I1269" s="127"/>
    </row>
    <row r="1270" spans="1:9" x14ac:dyDescent="0.3">
      <c r="A1270" s="144"/>
      <c r="B1270" s="144"/>
      <c r="C1270" s="131"/>
      <c r="D1270" s="131"/>
      <c r="E1270" s="131"/>
      <c r="F1270" s="131"/>
      <c r="G1270" s="127"/>
      <c r="H1270" s="127"/>
      <c r="I1270" s="127"/>
    </row>
    <row r="1271" spans="1:9" x14ac:dyDescent="0.3">
      <c r="A1271" s="131"/>
      <c r="B1271" s="131"/>
      <c r="C1271" s="131"/>
      <c r="D1271" s="131"/>
      <c r="E1271" s="131"/>
      <c r="F1271" s="131"/>
      <c r="G1271" s="127"/>
      <c r="H1271" s="127"/>
      <c r="I1271" s="127"/>
    </row>
    <row r="1272" spans="1:9" x14ac:dyDescent="0.3">
      <c r="A1272" s="131"/>
      <c r="B1272" s="131"/>
      <c r="C1272" s="131"/>
      <c r="D1272" s="131"/>
      <c r="E1272" s="131"/>
      <c r="F1272" s="131"/>
      <c r="G1272" s="127"/>
      <c r="H1272" s="127"/>
      <c r="I1272" s="127"/>
    </row>
    <row r="1273" spans="1:9" x14ac:dyDescent="0.3">
      <c r="A1273" s="131"/>
      <c r="B1273" s="131"/>
      <c r="C1273" s="131"/>
      <c r="D1273" s="131"/>
      <c r="E1273" s="131"/>
      <c r="F1273" s="131"/>
      <c r="G1273" s="127"/>
      <c r="H1273" s="127"/>
      <c r="I1273" s="127"/>
    </row>
    <row r="1274" spans="1:9" x14ac:dyDescent="0.3">
      <c r="A1274" s="131"/>
      <c r="B1274" s="131"/>
      <c r="C1274" s="131"/>
      <c r="D1274" s="131"/>
      <c r="E1274" s="131"/>
      <c r="F1274" s="131"/>
      <c r="G1274" s="127"/>
      <c r="H1274" s="127"/>
      <c r="I1274" s="127"/>
    </row>
    <row r="1275" spans="1:9" x14ac:dyDescent="0.3">
      <c r="A1275" s="131"/>
      <c r="B1275" s="131"/>
      <c r="C1275" s="131"/>
      <c r="D1275" s="131"/>
      <c r="E1275" s="131"/>
      <c r="F1275" s="131"/>
      <c r="G1275" s="127"/>
      <c r="H1275" s="127"/>
      <c r="I1275" s="127"/>
    </row>
    <row r="1276" spans="1:9" x14ac:dyDescent="0.3">
      <c r="A1276" s="131"/>
      <c r="B1276" s="131"/>
      <c r="C1276" s="131"/>
      <c r="D1276" s="131"/>
      <c r="E1276" s="131"/>
      <c r="F1276" s="131"/>
      <c r="G1276" s="127"/>
      <c r="H1276" s="127"/>
      <c r="I1276" s="127"/>
    </row>
    <row r="1277" spans="1:9" x14ac:dyDescent="0.3">
      <c r="A1277" s="131"/>
      <c r="B1277" s="131"/>
      <c r="C1277" s="131"/>
      <c r="D1277" s="131"/>
      <c r="E1277" s="131"/>
      <c r="F1277" s="131"/>
      <c r="G1277" s="127"/>
      <c r="H1277" s="127"/>
      <c r="I1277" s="127"/>
    </row>
    <row r="1278" spans="1:9" x14ac:dyDescent="0.3">
      <c r="A1278" s="131"/>
      <c r="B1278" s="131"/>
      <c r="C1278" s="131"/>
      <c r="D1278" s="131"/>
      <c r="E1278" s="131"/>
      <c r="F1278" s="131"/>
      <c r="G1278" s="127"/>
      <c r="H1278" s="127"/>
      <c r="I1278" s="127"/>
    </row>
    <row r="1279" spans="1:9" x14ac:dyDescent="0.3">
      <c r="A1279" s="131"/>
      <c r="B1279" s="131"/>
      <c r="C1279" s="131"/>
      <c r="D1279" s="131"/>
      <c r="E1279" s="131"/>
      <c r="F1279" s="131"/>
      <c r="G1279" s="127"/>
      <c r="H1279" s="127"/>
      <c r="I1279" s="127"/>
    </row>
    <row r="1280" spans="1:9" x14ac:dyDescent="0.3">
      <c r="A1280" s="131"/>
      <c r="B1280" s="131"/>
      <c r="C1280" s="131"/>
      <c r="D1280" s="131"/>
      <c r="E1280" s="131"/>
      <c r="F1280" s="131"/>
      <c r="G1280" s="127"/>
      <c r="H1280" s="127"/>
      <c r="I1280" s="127"/>
    </row>
    <row r="1281" spans="1:9" x14ac:dyDescent="0.3">
      <c r="A1281" s="131"/>
      <c r="B1281" s="131"/>
      <c r="C1281" s="131"/>
      <c r="D1281" s="131"/>
      <c r="E1281" s="131"/>
      <c r="F1281" s="131"/>
      <c r="G1281" s="127"/>
      <c r="H1281" s="127"/>
      <c r="I1281" s="127"/>
    </row>
    <row r="1282" spans="1:9" x14ac:dyDescent="0.3">
      <c r="A1282" s="131"/>
      <c r="B1282" s="131"/>
      <c r="C1282" s="131"/>
      <c r="D1282" s="131"/>
      <c r="E1282" s="131"/>
      <c r="F1282" s="131"/>
      <c r="G1282" s="127"/>
      <c r="H1282" s="127"/>
      <c r="I1282" s="127"/>
    </row>
    <row r="1283" spans="1:9" x14ac:dyDescent="0.3">
      <c r="A1283" s="131"/>
      <c r="B1283" s="131"/>
      <c r="C1283" s="131"/>
      <c r="D1283" s="131"/>
      <c r="E1283" s="131"/>
      <c r="F1283" s="131"/>
      <c r="G1283" s="127"/>
      <c r="H1283" s="127"/>
      <c r="I1283" s="127"/>
    </row>
    <row r="1284" spans="1:9" x14ac:dyDescent="0.3">
      <c r="A1284" s="131"/>
      <c r="B1284" s="131"/>
      <c r="C1284" s="131"/>
      <c r="D1284" s="131"/>
      <c r="E1284" s="131"/>
      <c r="F1284" s="131"/>
      <c r="G1284" s="127"/>
      <c r="H1284" s="127"/>
      <c r="I1284" s="127"/>
    </row>
    <row r="1285" spans="1:9" x14ac:dyDescent="0.3">
      <c r="A1285" s="131"/>
      <c r="B1285" s="131"/>
      <c r="C1285" s="131"/>
      <c r="D1285" s="131"/>
      <c r="E1285" s="131"/>
      <c r="F1285" s="131"/>
      <c r="G1285" s="127"/>
      <c r="H1285" s="127"/>
      <c r="I1285" s="127"/>
    </row>
    <row r="1286" spans="1:9" x14ac:dyDescent="0.3">
      <c r="A1286" s="131"/>
      <c r="B1286" s="131"/>
      <c r="C1286" s="131"/>
      <c r="D1286" s="131"/>
      <c r="E1286" s="131"/>
      <c r="F1286" s="131"/>
      <c r="G1286" s="127"/>
      <c r="H1286" s="127"/>
      <c r="I1286" s="127"/>
    </row>
    <row r="1287" spans="1:9" x14ac:dyDescent="0.3">
      <c r="A1287" s="131"/>
      <c r="B1287" s="131"/>
      <c r="C1287" s="131"/>
      <c r="D1287" s="131"/>
      <c r="E1287" s="131"/>
      <c r="F1287" s="131"/>
      <c r="G1287" s="127"/>
      <c r="H1287" s="127"/>
      <c r="I1287" s="127"/>
    </row>
    <row r="1288" spans="1:9" x14ac:dyDescent="0.3">
      <c r="A1288" s="131"/>
      <c r="B1288" s="131"/>
      <c r="C1288" s="131"/>
      <c r="D1288" s="131"/>
      <c r="E1288" s="131"/>
      <c r="F1288" s="131"/>
      <c r="G1288" s="127"/>
      <c r="H1288" s="127"/>
      <c r="I1288" s="127"/>
    </row>
    <row r="1289" spans="1:9" x14ac:dyDescent="0.3">
      <c r="A1289" s="131"/>
      <c r="B1289" s="131"/>
      <c r="C1289" s="131"/>
      <c r="D1289" s="131"/>
      <c r="E1289" s="131"/>
      <c r="F1289" s="131"/>
      <c r="G1289" s="127"/>
      <c r="H1289" s="127"/>
      <c r="I1289" s="127"/>
    </row>
    <row r="1290" spans="1:9" x14ac:dyDescent="0.3">
      <c r="A1290" s="131"/>
      <c r="B1290" s="131"/>
      <c r="C1290" s="131"/>
      <c r="D1290" s="131"/>
      <c r="E1290" s="131"/>
      <c r="F1290" s="131"/>
      <c r="G1290" s="127"/>
      <c r="H1290" s="127"/>
      <c r="I1290" s="127"/>
    </row>
    <row r="1291" spans="1:9" x14ac:dyDescent="0.3">
      <c r="A1291" s="131"/>
      <c r="B1291" s="131"/>
      <c r="C1291" s="131"/>
      <c r="D1291" s="131"/>
      <c r="E1291" s="131"/>
      <c r="F1291" s="131"/>
      <c r="G1291" s="127"/>
      <c r="H1291" s="127"/>
      <c r="I1291" s="127"/>
    </row>
    <row r="1292" spans="1:9" x14ac:dyDescent="0.3">
      <c r="A1292" s="131"/>
      <c r="B1292" s="131"/>
      <c r="C1292" s="131"/>
      <c r="D1292" s="131"/>
      <c r="E1292" s="131"/>
      <c r="F1292" s="131"/>
      <c r="G1292" s="127"/>
      <c r="H1292" s="127"/>
      <c r="I1292" s="127"/>
    </row>
    <row r="1293" spans="1:9" x14ac:dyDescent="0.3">
      <c r="A1293" s="131"/>
      <c r="B1293" s="131"/>
      <c r="C1293" s="131"/>
      <c r="D1293" s="131"/>
      <c r="E1293" s="131"/>
      <c r="F1293" s="131"/>
      <c r="G1293" s="127"/>
      <c r="H1293" s="127"/>
      <c r="I1293" s="127"/>
    </row>
    <row r="1294" spans="1:9" x14ac:dyDescent="0.3">
      <c r="A1294" s="131"/>
      <c r="B1294" s="131"/>
      <c r="C1294" s="131"/>
      <c r="D1294" s="131"/>
      <c r="E1294" s="131"/>
      <c r="F1294" s="131"/>
      <c r="G1294" s="127"/>
      <c r="H1294" s="127"/>
      <c r="I1294" s="127"/>
    </row>
    <row r="1295" spans="1:9" x14ac:dyDescent="0.3">
      <c r="A1295" s="131"/>
      <c r="B1295" s="131"/>
      <c r="C1295" s="131"/>
      <c r="D1295" s="131"/>
      <c r="E1295" s="131"/>
      <c r="F1295" s="131"/>
      <c r="G1295" s="127"/>
      <c r="H1295" s="127"/>
      <c r="I1295" s="127"/>
    </row>
    <row r="1296" spans="1:9" x14ac:dyDescent="0.3">
      <c r="A1296" s="131"/>
      <c r="B1296" s="131"/>
      <c r="C1296" s="131"/>
      <c r="D1296" s="131"/>
      <c r="E1296" s="131"/>
      <c r="F1296" s="131"/>
      <c r="G1296" s="127"/>
      <c r="H1296" s="127"/>
      <c r="I1296" s="127"/>
    </row>
    <row r="1297" spans="1:9" x14ac:dyDescent="0.3">
      <c r="A1297" s="131"/>
      <c r="B1297" s="131"/>
      <c r="C1297" s="131"/>
      <c r="D1297" s="131"/>
      <c r="E1297" s="131"/>
      <c r="F1297" s="131"/>
      <c r="G1297" s="127"/>
      <c r="H1297" s="127"/>
      <c r="I1297" s="127"/>
    </row>
    <row r="1298" spans="1:9" x14ac:dyDescent="0.3">
      <c r="A1298" s="131"/>
      <c r="B1298" s="131"/>
      <c r="C1298" s="131"/>
      <c r="D1298" s="131"/>
      <c r="E1298" s="131"/>
      <c r="F1298" s="131"/>
      <c r="G1298" s="127"/>
      <c r="H1298" s="127"/>
      <c r="I1298" s="127"/>
    </row>
    <row r="1299" spans="1:9" x14ac:dyDescent="0.3">
      <c r="A1299" s="131"/>
      <c r="B1299" s="131"/>
      <c r="C1299" s="131"/>
      <c r="D1299" s="131"/>
      <c r="E1299" s="131"/>
      <c r="F1299" s="131"/>
      <c r="G1299" s="127"/>
      <c r="H1299" s="127"/>
      <c r="I1299" s="127"/>
    </row>
    <row r="1300" spans="1:9" x14ac:dyDescent="0.3">
      <c r="A1300" s="131"/>
      <c r="B1300" s="131"/>
      <c r="C1300" s="131"/>
      <c r="D1300" s="131"/>
      <c r="E1300" s="131"/>
      <c r="F1300" s="131"/>
      <c r="G1300" s="127"/>
      <c r="H1300" s="127"/>
      <c r="I1300" s="127"/>
    </row>
    <row r="1301" spans="1:9" x14ac:dyDescent="0.3">
      <c r="A1301" s="131"/>
      <c r="B1301" s="131"/>
      <c r="C1301" s="131"/>
      <c r="D1301" s="131"/>
      <c r="E1301" s="131"/>
      <c r="F1301" s="131"/>
      <c r="G1301" s="127"/>
      <c r="H1301" s="127"/>
      <c r="I1301" s="127"/>
    </row>
    <row r="1302" spans="1:9" x14ac:dyDescent="0.3">
      <c r="A1302" s="131"/>
      <c r="B1302" s="131"/>
      <c r="C1302" s="131"/>
      <c r="D1302" s="131"/>
      <c r="E1302" s="131"/>
      <c r="F1302" s="131"/>
      <c r="G1302" s="127"/>
      <c r="H1302" s="127"/>
      <c r="I1302" s="127"/>
    </row>
    <row r="1303" spans="1:9" x14ac:dyDescent="0.3">
      <c r="A1303" s="144"/>
      <c r="B1303" s="131"/>
      <c r="C1303" s="131"/>
      <c r="D1303" s="131"/>
      <c r="E1303" s="131"/>
      <c r="F1303" s="131"/>
      <c r="G1303" s="127"/>
      <c r="H1303" s="127"/>
      <c r="I1303" s="127"/>
    </row>
    <row r="1304" spans="1:9" x14ac:dyDescent="0.3">
      <c r="A1304" s="144"/>
      <c r="B1304" s="131"/>
      <c r="C1304" s="131"/>
      <c r="D1304" s="131"/>
      <c r="E1304" s="131"/>
      <c r="F1304" s="131"/>
      <c r="G1304" s="127"/>
      <c r="H1304" s="127"/>
      <c r="I1304" s="127"/>
    </row>
    <row r="1305" spans="1:9" x14ac:dyDescent="0.3">
      <c r="A1305" s="131"/>
      <c r="B1305" s="131"/>
      <c r="C1305" s="131"/>
      <c r="D1305" s="131"/>
      <c r="E1305" s="131"/>
      <c r="F1305" s="131"/>
      <c r="G1305" s="127"/>
      <c r="H1305" s="127"/>
      <c r="I1305" s="127"/>
    </row>
    <row r="1306" spans="1:9" x14ac:dyDescent="0.3">
      <c r="A1306" s="131"/>
      <c r="B1306" s="131"/>
      <c r="C1306" s="152"/>
      <c r="D1306" s="131"/>
      <c r="E1306" s="131"/>
      <c r="F1306" s="131"/>
      <c r="G1306" s="127"/>
      <c r="H1306" s="127"/>
      <c r="I1306" s="127"/>
    </row>
    <row r="1307" spans="1:9" x14ac:dyDescent="0.3">
      <c r="A1307" s="131"/>
      <c r="B1307" s="131"/>
      <c r="C1307" s="126"/>
      <c r="D1307" s="126"/>
      <c r="E1307" s="126"/>
      <c r="F1307" s="128"/>
      <c r="G1307" s="129"/>
      <c r="H1307" s="127"/>
      <c r="I1307" s="127"/>
    </row>
    <row r="1308" spans="1:9" x14ac:dyDescent="0.3">
      <c r="A1308" s="131"/>
      <c r="B1308" s="131"/>
      <c r="C1308" s="127"/>
      <c r="D1308" s="127"/>
      <c r="E1308" s="127"/>
      <c r="F1308" s="127"/>
      <c r="G1308" s="127"/>
      <c r="H1308" s="127"/>
      <c r="I1308" s="127"/>
    </row>
    <row r="1309" spans="1:9" x14ac:dyDescent="0.3">
      <c r="A1309" s="152"/>
      <c r="B1309" s="152"/>
      <c r="C1309" s="151"/>
      <c r="D1309" s="151"/>
      <c r="E1309" s="151"/>
      <c r="F1309" s="151"/>
      <c r="G1309" s="127"/>
      <c r="H1309" s="127"/>
      <c r="I1309" s="127"/>
    </row>
    <row r="1310" spans="1:9" x14ac:dyDescent="0.3">
      <c r="A1310" s="126"/>
      <c r="B1310" s="126"/>
      <c r="C1310" s="153"/>
      <c r="D1310" s="153"/>
      <c r="E1310" s="153"/>
      <c r="F1310" s="153"/>
      <c r="G1310" s="127"/>
      <c r="H1310" s="127"/>
      <c r="I1310" s="127"/>
    </row>
    <row r="1311" spans="1:9" x14ac:dyDescent="0.3">
      <c r="A1311" s="127"/>
      <c r="B1311" s="127"/>
      <c r="C1311" s="153"/>
      <c r="D1311" s="153"/>
      <c r="E1311" s="153"/>
      <c r="F1311" s="153"/>
      <c r="G1311" s="127"/>
      <c r="H1311" s="127"/>
      <c r="I1311" s="127"/>
    </row>
    <row r="1312" spans="1:9" x14ac:dyDescent="0.3">
      <c r="A1312" s="151"/>
      <c r="B1312" s="151"/>
      <c r="C1312" s="154"/>
      <c r="D1312" s="154"/>
      <c r="E1312" s="154"/>
      <c r="F1312" s="154"/>
      <c r="G1312" s="127"/>
      <c r="H1312" s="127"/>
      <c r="I1312" s="127"/>
    </row>
    <row r="1313" spans="1:10" x14ac:dyDescent="0.3">
      <c r="A1313" s="153"/>
      <c r="B1313" s="153"/>
      <c r="C1313" s="154"/>
      <c r="D1313" s="154"/>
      <c r="E1313" s="154"/>
      <c r="F1313" s="154"/>
      <c r="G1313" s="127"/>
      <c r="H1313" s="127"/>
      <c r="I1313" s="127"/>
    </row>
    <row r="1314" spans="1:10" x14ac:dyDescent="0.3">
      <c r="A1314" s="153"/>
      <c r="B1314" s="153"/>
      <c r="C1314" s="154"/>
      <c r="D1314" s="154"/>
      <c r="E1314" s="154"/>
      <c r="F1314" s="154"/>
      <c r="G1314" s="127"/>
      <c r="H1314" s="127"/>
      <c r="I1314" s="127"/>
    </row>
    <row r="1315" spans="1:10" x14ac:dyDescent="0.3">
      <c r="A1315" s="144"/>
      <c r="B1315" s="144"/>
      <c r="C1315" s="154"/>
      <c r="D1315" s="154"/>
      <c r="E1315" s="154"/>
      <c r="F1315" s="154"/>
      <c r="G1315" s="127"/>
      <c r="H1315" s="127"/>
      <c r="I1315" s="127"/>
    </row>
    <row r="1316" spans="1:10" x14ac:dyDescent="0.3">
      <c r="A1316" s="155"/>
      <c r="B1316" s="131"/>
      <c r="C1316" s="154"/>
      <c r="D1316" s="154"/>
      <c r="E1316" s="154"/>
      <c r="F1316" s="154"/>
      <c r="G1316" s="127"/>
      <c r="H1316" s="127"/>
      <c r="I1316" s="127"/>
    </row>
    <row r="1317" spans="1:10" x14ac:dyDescent="0.3">
      <c r="A1317" s="155"/>
      <c r="B1317" s="131"/>
      <c r="C1317" s="154"/>
      <c r="D1317" s="154"/>
      <c r="E1317" s="154"/>
      <c r="F1317" s="154"/>
      <c r="G1317" s="127"/>
      <c r="H1317" s="127"/>
      <c r="I1317" s="127"/>
    </row>
    <row r="1318" spans="1:10" x14ac:dyDescent="0.3">
      <c r="A1318" s="144"/>
      <c r="B1318" s="131"/>
      <c r="C1318" s="154"/>
      <c r="D1318" s="154"/>
      <c r="E1318" s="154"/>
      <c r="F1318" s="154"/>
      <c r="G1318" s="127"/>
      <c r="H1318" s="127"/>
      <c r="I1318" s="127"/>
    </row>
    <row r="1319" spans="1:10" x14ac:dyDescent="0.3">
      <c r="A1319" s="144"/>
      <c r="B1319" s="131"/>
      <c r="C1319" s="154"/>
      <c r="D1319" s="154"/>
      <c r="E1319" s="154"/>
      <c r="F1319" s="154"/>
      <c r="G1319" s="127"/>
      <c r="H1319" s="127"/>
      <c r="I1319" s="127"/>
    </row>
    <row r="1320" spans="1:10" x14ac:dyDescent="0.3">
      <c r="A1320" s="144"/>
      <c r="B1320" s="131"/>
      <c r="C1320" s="154"/>
      <c r="D1320" s="154"/>
      <c r="E1320" s="154"/>
      <c r="F1320" s="154"/>
      <c r="G1320" s="127"/>
      <c r="H1320" s="127"/>
      <c r="I1320" s="127"/>
    </row>
    <row r="1321" spans="1:10" x14ac:dyDescent="0.3">
      <c r="A1321" s="144"/>
      <c r="B1321" s="131"/>
      <c r="C1321" s="154"/>
      <c r="D1321" s="154"/>
      <c r="E1321" s="154"/>
      <c r="F1321" s="154"/>
      <c r="G1321" s="127"/>
      <c r="H1321" s="127"/>
      <c r="I1321" s="127"/>
    </row>
    <row r="1322" spans="1:10" x14ac:dyDescent="0.3">
      <c r="A1322" s="144"/>
      <c r="B1322" s="131"/>
      <c r="C1322" s="154"/>
      <c r="D1322" s="154"/>
      <c r="E1322" s="154"/>
      <c r="F1322" s="154"/>
      <c r="G1322" s="127"/>
      <c r="H1322" s="127"/>
      <c r="I1322" s="127"/>
    </row>
    <row r="1323" spans="1:10" x14ac:dyDescent="0.3">
      <c r="A1323" s="155"/>
      <c r="B1323" s="131"/>
      <c r="C1323" s="154"/>
      <c r="D1323" s="154"/>
      <c r="E1323" s="154"/>
      <c r="F1323" s="154"/>
      <c r="G1323" s="127"/>
      <c r="H1323" s="127"/>
      <c r="I1323" s="127"/>
    </row>
    <row r="1324" spans="1:10" x14ac:dyDescent="0.3">
      <c r="A1324" s="155"/>
      <c r="B1324" s="131"/>
      <c r="C1324" s="129"/>
      <c r="D1324" s="154"/>
      <c r="E1324" s="154"/>
      <c r="F1324" s="154"/>
      <c r="G1324" s="127"/>
      <c r="H1324" s="127"/>
      <c r="I1324" s="127"/>
      <c r="J1324" s="127"/>
    </row>
    <row r="1325" spans="1:10" x14ac:dyDescent="0.3">
      <c r="A1325" s="144"/>
      <c r="B1325" s="131"/>
      <c r="C1325" s="154"/>
      <c r="D1325" s="154"/>
      <c r="E1325" s="154"/>
      <c r="F1325" s="154"/>
      <c r="G1325" s="127"/>
      <c r="H1325" s="127"/>
      <c r="I1325" s="127"/>
      <c r="J1325" s="127"/>
    </row>
    <row r="1326" spans="1:10" x14ac:dyDescent="0.3">
      <c r="A1326" s="144"/>
      <c r="B1326" s="131"/>
      <c r="C1326" s="156"/>
      <c r="D1326" s="156"/>
      <c r="E1326" s="156"/>
      <c r="F1326" s="156"/>
      <c r="G1326" s="127"/>
      <c r="H1326" s="127"/>
      <c r="I1326" s="127"/>
      <c r="J1326" s="127"/>
    </row>
    <row r="1327" spans="1:10" x14ac:dyDescent="0.3">
      <c r="A1327" s="131"/>
      <c r="B1327" s="128"/>
      <c r="C1327" s="156"/>
      <c r="D1327" s="156"/>
      <c r="E1327" s="156"/>
      <c r="F1327" s="156"/>
      <c r="G1327" s="127"/>
      <c r="H1327" s="127"/>
      <c r="I1327" s="127"/>
      <c r="J1327" s="127"/>
    </row>
    <row r="1328" spans="1:10" x14ac:dyDescent="0.3">
      <c r="A1328" s="131"/>
      <c r="B1328" s="154"/>
      <c r="C1328" s="154"/>
      <c r="D1328" s="154"/>
      <c r="E1328" s="154"/>
      <c r="F1328" s="154"/>
      <c r="G1328" s="127"/>
      <c r="H1328" s="127"/>
      <c r="I1328" s="127"/>
      <c r="J1328" s="127"/>
    </row>
    <row r="1329" spans="1:10" x14ac:dyDescent="0.3">
      <c r="A1329" s="156"/>
      <c r="B1329" s="156"/>
      <c r="C1329" s="128"/>
      <c r="D1329" s="129"/>
      <c r="E1329" s="154"/>
      <c r="F1329" s="154"/>
      <c r="G1329" s="127"/>
      <c r="H1329" s="127"/>
      <c r="I1329" s="127"/>
    </row>
    <row r="1330" spans="1:10" x14ac:dyDescent="0.3">
      <c r="A1330" s="156"/>
      <c r="B1330" s="156"/>
      <c r="C1330" s="127"/>
      <c r="D1330" s="127"/>
      <c r="E1330" s="154"/>
      <c r="F1330" s="154"/>
      <c r="G1330" s="127"/>
      <c r="H1330" s="127"/>
      <c r="I1330" s="127"/>
      <c r="J1330" s="127"/>
    </row>
    <row r="1331" spans="1:10" x14ac:dyDescent="0.3">
      <c r="A1331" s="154"/>
      <c r="B1331" s="154"/>
      <c r="C1331" s="157"/>
      <c r="D1331" s="157"/>
      <c r="E1331" s="157"/>
      <c r="F1331" s="154"/>
      <c r="G1331" s="127"/>
      <c r="H1331" s="127"/>
      <c r="I1331" s="127"/>
      <c r="J1331" s="127"/>
    </row>
    <row r="1332" spans="1:10" x14ac:dyDescent="0.3">
      <c r="A1332" s="157"/>
      <c r="B1332" s="157"/>
      <c r="C1332" s="144"/>
      <c r="D1332" s="158"/>
      <c r="E1332" s="144"/>
      <c r="F1332" s="154"/>
      <c r="G1332" s="127"/>
      <c r="H1332" s="127"/>
      <c r="I1332" s="127"/>
      <c r="J1332" s="127"/>
    </row>
    <row r="1333" spans="1:10" x14ac:dyDescent="0.3">
      <c r="A1333" s="154"/>
      <c r="B1333" s="127"/>
      <c r="C1333" s="131"/>
      <c r="D1333" s="131"/>
      <c r="E1333" s="131"/>
      <c r="F1333" s="154"/>
      <c r="G1333" s="127"/>
      <c r="H1333" s="127"/>
      <c r="I1333" s="127"/>
      <c r="J1333" s="127"/>
    </row>
    <row r="1334" spans="1:10" x14ac:dyDescent="0.3">
      <c r="A1334" s="157"/>
      <c r="B1334" s="157"/>
      <c r="C1334" s="131"/>
      <c r="D1334" s="131"/>
      <c r="E1334" s="131"/>
      <c r="F1334" s="154"/>
      <c r="G1334" s="127"/>
      <c r="H1334" s="127"/>
      <c r="I1334" s="127"/>
      <c r="J1334" s="127"/>
    </row>
    <row r="1335" spans="1:10" x14ac:dyDescent="0.3">
      <c r="A1335" s="144"/>
      <c r="B1335" s="144"/>
      <c r="C1335" s="131"/>
      <c r="D1335" s="131"/>
      <c r="E1335" s="131"/>
      <c r="F1335" s="154"/>
      <c r="G1335" s="127"/>
      <c r="H1335" s="127"/>
      <c r="I1335" s="127"/>
      <c r="J1335" s="127"/>
    </row>
    <row r="1336" spans="1:10" x14ac:dyDescent="0.3">
      <c r="A1336" s="131"/>
      <c r="B1336" s="131"/>
      <c r="C1336" s="131"/>
      <c r="D1336" s="131"/>
      <c r="E1336" s="131"/>
      <c r="F1336" s="154"/>
      <c r="G1336" s="127"/>
      <c r="H1336" s="127"/>
      <c r="I1336" s="127"/>
      <c r="J1336" s="127"/>
    </row>
    <row r="1337" spans="1:10" x14ac:dyDescent="0.3">
      <c r="A1337" s="131"/>
      <c r="B1337" s="131"/>
      <c r="C1337" s="131"/>
      <c r="D1337" s="131"/>
      <c r="E1337" s="131"/>
      <c r="F1337" s="154"/>
      <c r="G1337" s="127"/>
      <c r="H1337" s="127"/>
      <c r="I1337" s="127"/>
      <c r="J1337" s="127"/>
    </row>
    <row r="1338" spans="1:10" x14ac:dyDescent="0.3">
      <c r="A1338" s="131"/>
      <c r="B1338" s="131"/>
      <c r="C1338" s="131"/>
      <c r="D1338" s="131"/>
      <c r="E1338" s="131"/>
      <c r="F1338" s="154"/>
      <c r="G1338" s="127"/>
      <c r="H1338" s="127"/>
      <c r="I1338" s="127"/>
      <c r="J1338" s="127"/>
    </row>
    <row r="1339" spans="1:10" x14ac:dyDescent="0.3">
      <c r="A1339" s="131"/>
      <c r="B1339" s="131"/>
      <c r="C1339" s="131"/>
      <c r="D1339" s="131"/>
      <c r="E1339" s="131"/>
      <c r="F1339" s="154"/>
      <c r="G1339" s="127"/>
      <c r="H1339" s="127"/>
      <c r="I1339" s="127"/>
      <c r="J1339" s="127"/>
    </row>
    <row r="1340" spans="1:10" x14ac:dyDescent="0.3">
      <c r="A1340" s="131"/>
      <c r="B1340" s="131"/>
      <c r="C1340" s="131"/>
      <c r="D1340" s="131"/>
      <c r="E1340" s="131"/>
      <c r="F1340" s="154"/>
      <c r="G1340" s="127"/>
      <c r="H1340" s="127"/>
      <c r="I1340" s="127"/>
      <c r="J1340" s="127"/>
    </row>
    <row r="1341" spans="1:10" x14ac:dyDescent="0.3">
      <c r="A1341" s="131"/>
      <c r="B1341" s="131"/>
      <c r="C1341" s="131"/>
      <c r="D1341" s="131"/>
      <c r="E1341" s="131"/>
      <c r="F1341" s="154"/>
      <c r="G1341" s="127"/>
      <c r="H1341" s="127"/>
      <c r="I1341" s="127"/>
      <c r="J1341" s="127"/>
    </row>
    <row r="1342" spans="1:10" x14ac:dyDescent="0.3">
      <c r="A1342" s="131"/>
      <c r="B1342" s="131"/>
      <c r="C1342" s="131"/>
      <c r="D1342" s="131"/>
      <c r="E1342" s="131"/>
      <c r="F1342" s="154"/>
      <c r="G1342" s="127"/>
      <c r="H1342" s="127"/>
      <c r="I1342" s="127"/>
      <c r="J1342" s="127"/>
    </row>
    <row r="1343" spans="1:10" x14ac:dyDescent="0.3">
      <c r="A1343" s="131"/>
      <c r="B1343" s="131"/>
      <c r="C1343" s="131"/>
      <c r="D1343" s="131"/>
      <c r="E1343" s="131"/>
      <c r="F1343" s="154"/>
      <c r="G1343" s="127"/>
      <c r="H1343" s="127"/>
      <c r="I1343" s="127"/>
      <c r="J1343" s="127"/>
    </row>
    <row r="1344" spans="1:10" x14ac:dyDescent="0.3">
      <c r="A1344" s="131"/>
      <c r="B1344" s="131"/>
      <c r="C1344" s="131"/>
      <c r="D1344" s="131"/>
      <c r="E1344" s="131"/>
      <c r="F1344" s="154"/>
      <c r="G1344" s="127"/>
      <c r="H1344" s="127"/>
      <c r="I1344" s="127"/>
      <c r="J1344" s="127"/>
    </row>
    <row r="1345" spans="1:10" x14ac:dyDescent="0.3">
      <c r="A1345" s="131"/>
      <c r="B1345" s="131"/>
      <c r="C1345" s="131"/>
      <c r="D1345" s="131"/>
      <c r="E1345" s="131"/>
      <c r="F1345" s="154"/>
      <c r="G1345" s="127"/>
      <c r="H1345" s="127"/>
      <c r="I1345" s="127"/>
      <c r="J1345" s="127"/>
    </row>
    <row r="1346" spans="1:10" x14ac:dyDescent="0.3">
      <c r="A1346" s="131"/>
      <c r="B1346" s="131"/>
      <c r="C1346" s="131"/>
      <c r="D1346" s="131"/>
      <c r="E1346" s="131"/>
      <c r="F1346" s="154"/>
      <c r="G1346" s="127"/>
      <c r="H1346" s="127"/>
      <c r="I1346" s="127"/>
      <c r="J1346" s="127"/>
    </row>
    <row r="1347" spans="1:10" x14ac:dyDescent="0.3">
      <c r="A1347" s="131"/>
      <c r="B1347" s="131"/>
      <c r="C1347" s="131"/>
      <c r="D1347" s="131"/>
      <c r="E1347" s="131"/>
      <c r="F1347" s="154"/>
      <c r="G1347" s="127"/>
      <c r="H1347" s="127"/>
      <c r="I1347" s="127"/>
      <c r="J1347" s="127"/>
    </row>
    <row r="1348" spans="1:10" x14ac:dyDescent="0.3">
      <c r="A1348" s="131"/>
      <c r="B1348" s="131"/>
      <c r="C1348" s="154"/>
      <c r="D1348" s="154"/>
      <c r="E1348" s="159"/>
      <c r="F1348" s="160"/>
      <c r="G1348" s="127"/>
      <c r="H1348" s="127"/>
      <c r="I1348" s="127"/>
      <c r="J1348" s="127"/>
    </row>
    <row r="1349" spans="1:10" x14ac:dyDescent="0.3">
      <c r="A1349" s="131"/>
      <c r="B1349" s="131"/>
      <c r="C1349" s="154"/>
      <c r="D1349" s="154"/>
      <c r="E1349" s="154"/>
      <c r="F1349" s="154"/>
      <c r="G1349" s="127"/>
      <c r="H1349" s="127"/>
      <c r="I1349" s="127"/>
      <c r="J1349" s="127"/>
    </row>
    <row r="1350" spans="1:10" x14ac:dyDescent="0.3">
      <c r="A1350" s="131"/>
      <c r="B1350" s="131"/>
      <c r="C1350" s="125"/>
      <c r="D1350" s="132"/>
      <c r="E1350" s="128"/>
      <c r="F1350" s="129"/>
      <c r="G1350" s="127"/>
      <c r="H1350" s="127"/>
      <c r="I1350" s="127"/>
    </row>
    <row r="1351" spans="1:10" x14ac:dyDescent="0.3">
      <c r="A1351" s="154"/>
      <c r="B1351" s="154"/>
      <c r="C1351" s="128"/>
      <c r="D1351" s="129"/>
      <c r="E1351" s="154"/>
      <c r="F1351" s="154"/>
      <c r="G1351" s="127"/>
      <c r="H1351" s="127"/>
      <c r="I1351" s="127"/>
    </row>
    <row r="1352" spans="1:10" x14ac:dyDescent="0.3">
      <c r="A1352" s="154"/>
      <c r="B1352" s="154"/>
      <c r="C1352" s="128"/>
      <c r="D1352" s="129"/>
      <c r="E1352" s="154"/>
      <c r="F1352" s="154"/>
      <c r="G1352" s="127"/>
      <c r="H1352" s="127"/>
      <c r="I1352" s="127"/>
    </row>
    <row r="1353" spans="1:10" x14ac:dyDescent="0.3">
      <c r="A1353" s="131"/>
      <c r="B1353" s="144"/>
      <c r="C1353" s="153"/>
      <c r="D1353" s="153"/>
      <c r="E1353" s="153"/>
      <c r="F1353" s="153"/>
      <c r="G1353" s="127"/>
      <c r="H1353" s="127"/>
      <c r="I1353" s="127"/>
    </row>
    <row r="1354" spans="1:10" x14ac:dyDescent="0.3">
      <c r="A1354" s="144"/>
      <c r="B1354" s="144"/>
      <c r="C1354" s="153"/>
      <c r="D1354" s="153"/>
      <c r="E1354" s="153"/>
      <c r="F1354" s="153"/>
      <c r="G1354" s="127"/>
      <c r="H1354" s="127"/>
      <c r="I1354" s="127"/>
    </row>
    <row r="1355" spans="1:10" x14ac:dyDescent="0.3">
      <c r="A1355" s="144"/>
      <c r="B1355" s="144"/>
      <c r="C1355" s="144"/>
      <c r="D1355" s="153"/>
      <c r="E1355" s="153"/>
      <c r="F1355" s="153"/>
      <c r="G1355" s="127"/>
      <c r="H1355" s="127"/>
      <c r="I1355" s="127"/>
    </row>
    <row r="1356" spans="1:10" x14ac:dyDescent="0.3">
      <c r="A1356" s="153"/>
      <c r="B1356" s="153"/>
      <c r="C1356" s="131"/>
      <c r="D1356" s="153"/>
      <c r="E1356" s="153"/>
      <c r="F1356" s="153"/>
      <c r="G1356" s="127"/>
      <c r="H1356" s="127"/>
      <c r="I1356" s="127"/>
    </row>
    <row r="1357" spans="1:10" x14ac:dyDescent="0.3">
      <c r="A1357" s="153"/>
      <c r="B1357" s="153"/>
      <c r="C1357" s="131"/>
      <c r="D1357" s="153"/>
      <c r="E1357" s="153"/>
      <c r="F1357" s="153"/>
      <c r="G1357" s="127"/>
      <c r="H1357" s="127"/>
      <c r="I1357" s="127"/>
    </row>
    <row r="1358" spans="1:10" x14ac:dyDescent="0.3">
      <c r="A1358" s="144"/>
      <c r="B1358" s="144"/>
      <c r="C1358" s="131"/>
      <c r="D1358" s="153"/>
      <c r="E1358" s="153"/>
      <c r="F1358" s="153"/>
      <c r="G1358" s="127"/>
      <c r="H1358" s="127"/>
      <c r="I1358" s="127"/>
    </row>
    <row r="1359" spans="1:10" x14ac:dyDescent="0.3">
      <c r="A1359" s="131"/>
      <c r="B1359" s="131"/>
      <c r="C1359" s="131"/>
      <c r="D1359" s="153"/>
      <c r="E1359" s="153"/>
      <c r="F1359" s="153"/>
      <c r="G1359" s="127"/>
      <c r="H1359" s="127"/>
      <c r="I1359" s="127"/>
    </row>
    <row r="1360" spans="1:10" x14ac:dyDescent="0.3">
      <c r="A1360" s="131"/>
      <c r="B1360" s="131"/>
      <c r="C1360" s="131"/>
      <c r="D1360" s="153"/>
      <c r="E1360" s="153"/>
      <c r="F1360" s="153"/>
      <c r="G1360" s="127"/>
      <c r="H1360" s="127"/>
      <c r="I1360" s="127"/>
    </row>
    <row r="1361" spans="1:10" x14ac:dyDescent="0.3">
      <c r="A1361" s="131"/>
      <c r="B1361" s="131"/>
      <c r="C1361" s="131"/>
      <c r="D1361" s="153"/>
      <c r="E1361" s="153"/>
      <c r="F1361" s="153"/>
      <c r="G1361" s="127"/>
      <c r="H1361" s="127"/>
      <c r="I1361" s="127"/>
    </row>
    <row r="1362" spans="1:10" x14ac:dyDescent="0.3">
      <c r="A1362" s="131"/>
      <c r="B1362" s="131"/>
      <c r="C1362" s="128"/>
      <c r="D1362" s="129"/>
      <c r="E1362" s="153"/>
      <c r="F1362" s="153"/>
      <c r="G1362" s="127"/>
      <c r="H1362" s="127"/>
      <c r="I1362" s="127"/>
      <c r="J1362" s="123"/>
    </row>
    <row r="1363" spans="1:10" x14ac:dyDescent="0.3">
      <c r="A1363" s="131"/>
      <c r="B1363" s="131"/>
      <c r="C1363" s="131"/>
      <c r="D1363" s="154"/>
      <c r="E1363" s="154"/>
      <c r="F1363" s="154"/>
      <c r="G1363" s="127"/>
      <c r="H1363" s="127"/>
      <c r="I1363" s="127"/>
      <c r="J1363" s="123"/>
    </row>
    <row r="1364" spans="1:10" x14ac:dyDescent="0.3">
      <c r="A1364" s="131"/>
      <c r="B1364" s="131"/>
      <c r="C1364" s="151"/>
      <c r="D1364" s="151"/>
      <c r="E1364" s="151"/>
      <c r="F1364" s="154"/>
      <c r="G1364" s="127"/>
      <c r="H1364" s="127"/>
      <c r="I1364" s="127"/>
    </row>
    <row r="1365" spans="1:10" x14ac:dyDescent="0.3">
      <c r="A1365" s="153"/>
      <c r="B1365" s="131"/>
      <c r="C1365" s="156"/>
      <c r="D1365" s="156"/>
      <c r="E1365" s="156"/>
      <c r="F1365" s="156"/>
      <c r="G1365" s="127"/>
      <c r="H1365" s="127"/>
      <c r="I1365" s="127"/>
    </row>
    <row r="1366" spans="1:10" x14ac:dyDescent="0.3">
      <c r="A1366" s="154"/>
      <c r="B1366" s="131"/>
      <c r="C1366" s="156"/>
      <c r="D1366" s="156"/>
      <c r="E1366" s="156"/>
      <c r="F1366" s="156"/>
      <c r="G1366" s="127"/>
      <c r="H1366" s="127"/>
      <c r="I1366" s="127"/>
    </row>
    <row r="1367" spans="1:10" x14ac:dyDescent="0.3">
      <c r="A1367" s="151"/>
      <c r="B1367" s="151"/>
      <c r="C1367" s="154"/>
      <c r="D1367" s="154"/>
      <c r="E1367" s="154"/>
      <c r="F1367" s="154"/>
      <c r="G1367" s="127"/>
      <c r="H1367" s="127"/>
      <c r="I1367" s="127"/>
    </row>
    <row r="1368" spans="1:10" x14ac:dyDescent="0.3">
      <c r="A1368" s="156"/>
      <c r="B1368" s="156"/>
      <c r="C1368" s="144"/>
      <c r="D1368" s="144"/>
      <c r="E1368" s="144"/>
      <c r="F1368" s="154"/>
      <c r="G1368" s="127"/>
      <c r="H1368" s="127"/>
      <c r="I1368" s="127"/>
    </row>
    <row r="1369" spans="1:10" x14ac:dyDescent="0.3">
      <c r="A1369" s="156"/>
      <c r="B1369" s="156"/>
      <c r="C1369" s="131"/>
      <c r="D1369" s="131"/>
      <c r="E1369" s="131"/>
      <c r="F1369" s="154"/>
      <c r="G1369" s="127"/>
      <c r="H1369" s="127"/>
      <c r="I1369" s="127"/>
    </row>
    <row r="1370" spans="1:10" x14ac:dyDescent="0.3">
      <c r="A1370" s="144"/>
      <c r="B1370" s="144"/>
      <c r="C1370" s="131"/>
      <c r="D1370" s="131"/>
      <c r="E1370" s="131"/>
      <c r="F1370" s="154"/>
      <c r="G1370" s="127"/>
      <c r="H1370" s="127"/>
      <c r="I1370" s="127"/>
    </row>
    <row r="1371" spans="1:10" x14ac:dyDescent="0.3">
      <c r="A1371" s="144"/>
      <c r="B1371" s="158"/>
      <c r="C1371" s="131"/>
      <c r="D1371" s="131"/>
      <c r="E1371" s="131"/>
      <c r="F1371" s="154"/>
      <c r="G1371" s="127"/>
      <c r="H1371" s="127"/>
      <c r="I1371" s="127"/>
    </row>
    <row r="1372" spans="1:10" x14ac:dyDescent="0.3">
      <c r="A1372" s="131"/>
      <c r="B1372" s="131"/>
      <c r="C1372" s="131"/>
      <c r="D1372" s="131"/>
      <c r="E1372" s="131"/>
      <c r="F1372" s="154"/>
      <c r="G1372" s="127"/>
      <c r="H1372" s="127"/>
      <c r="I1372" s="127"/>
    </row>
    <row r="1373" spans="1:10" x14ac:dyDescent="0.3">
      <c r="A1373" s="131"/>
      <c r="B1373" s="131"/>
      <c r="C1373" s="131"/>
      <c r="D1373" s="131"/>
      <c r="E1373" s="131"/>
      <c r="F1373" s="154"/>
      <c r="G1373" s="127"/>
      <c r="H1373" s="127"/>
      <c r="I1373" s="127"/>
    </row>
    <row r="1374" spans="1:10" x14ac:dyDescent="0.3">
      <c r="A1374" s="131"/>
      <c r="B1374" s="131"/>
      <c r="C1374" s="131"/>
      <c r="D1374" s="131"/>
      <c r="E1374" s="131"/>
      <c r="F1374" s="154"/>
      <c r="G1374" s="127"/>
      <c r="H1374" s="127"/>
      <c r="I1374" s="127"/>
    </row>
    <row r="1375" spans="1:10" x14ac:dyDescent="0.3">
      <c r="A1375" s="131"/>
      <c r="B1375" s="131"/>
      <c r="C1375" s="131"/>
      <c r="D1375" s="131"/>
      <c r="E1375" s="131"/>
      <c r="F1375" s="154"/>
      <c r="G1375" s="127"/>
      <c r="H1375" s="127"/>
      <c r="I1375" s="127"/>
    </row>
    <row r="1376" spans="1:10" x14ac:dyDescent="0.3">
      <c r="A1376" s="131"/>
      <c r="B1376" s="131"/>
      <c r="C1376" s="131"/>
      <c r="D1376" s="131"/>
      <c r="E1376" s="131"/>
      <c r="F1376" s="154"/>
      <c r="G1376" s="127"/>
      <c r="H1376" s="127"/>
      <c r="I1376" s="127"/>
    </row>
    <row r="1377" spans="1:9" x14ac:dyDescent="0.3">
      <c r="A1377" s="131"/>
      <c r="B1377" s="131"/>
      <c r="C1377" s="131"/>
      <c r="D1377" s="131"/>
      <c r="E1377" s="131"/>
      <c r="F1377" s="154"/>
      <c r="G1377" s="127"/>
      <c r="H1377" s="127"/>
      <c r="I1377" s="127"/>
    </row>
    <row r="1378" spans="1:9" x14ac:dyDescent="0.3">
      <c r="A1378" s="131"/>
      <c r="B1378" s="131"/>
      <c r="C1378" s="131"/>
      <c r="D1378" s="131"/>
      <c r="E1378" s="131"/>
      <c r="F1378" s="154"/>
      <c r="G1378" s="127"/>
      <c r="H1378" s="127"/>
      <c r="I1378" s="127"/>
    </row>
    <row r="1379" spans="1:9" x14ac:dyDescent="0.3">
      <c r="A1379" s="131"/>
      <c r="B1379" s="131"/>
      <c r="C1379" s="131"/>
      <c r="D1379" s="131"/>
      <c r="E1379" s="131"/>
      <c r="F1379" s="154"/>
      <c r="G1379" s="127"/>
      <c r="H1379" s="127"/>
      <c r="I1379" s="127"/>
    </row>
    <row r="1380" spans="1:9" x14ac:dyDescent="0.3">
      <c r="A1380" s="131"/>
      <c r="B1380" s="131"/>
      <c r="C1380" s="131"/>
      <c r="D1380" s="131"/>
      <c r="E1380" s="131"/>
      <c r="F1380" s="154"/>
      <c r="G1380" s="127"/>
      <c r="H1380" s="127"/>
      <c r="I1380" s="127"/>
    </row>
    <row r="1381" spans="1:9" x14ac:dyDescent="0.3">
      <c r="A1381" s="131"/>
      <c r="B1381" s="131"/>
      <c r="C1381" s="131"/>
      <c r="D1381" s="131"/>
      <c r="E1381" s="131"/>
      <c r="F1381" s="154"/>
      <c r="G1381" s="127"/>
      <c r="H1381" s="127"/>
      <c r="I1381" s="127"/>
    </row>
    <row r="1382" spans="1:9" x14ac:dyDescent="0.3">
      <c r="A1382" s="131"/>
      <c r="B1382" s="131"/>
      <c r="C1382" s="131"/>
      <c r="D1382" s="131"/>
      <c r="E1382" s="131"/>
      <c r="F1382" s="154"/>
      <c r="G1382" s="127"/>
      <c r="H1382" s="127"/>
      <c r="I1382" s="127"/>
    </row>
    <row r="1383" spans="1:9" x14ac:dyDescent="0.3">
      <c r="A1383" s="131"/>
      <c r="B1383" s="131"/>
      <c r="C1383" s="131"/>
      <c r="D1383" s="131"/>
      <c r="E1383" s="131"/>
      <c r="F1383" s="154"/>
      <c r="G1383" s="127"/>
      <c r="H1383" s="127"/>
      <c r="I1383" s="127"/>
    </row>
    <row r="1384" spans="1:9" x14ac:dyDescent="0.3">
      <c r="A1384" s="131"/>
      <c r="B1384" s="131"/>
      <c r="C1384" s="131"/>
      <c r="D1384" s="131"/>
      <c r="E1384" s="131"/>
      <c r="F1384" s="154"/>
      <c r="G1384" s="127"/>
      <c r="H1384" s="127"/>
      <c r="I1384" s="127"/>
    </row>
    <row r="1385" spans="1:9" x14ac:dyDescent="0.3">
      <c r="A1385" s="131"/>
      <c r="B1385" s="131"/>
      <c r="C1385" s="131"/>
      <c r="D1385" s="131"/>
      <c r="E1385" s="131"/>
      <c r="F1385" s="154"/>
      <c r="G1385" s="127"/>
      <c r="H1385" s="127"/>
      <c r="I1385" s="127"/>
    </row>
    <row r="1386" spans="1:9" x14ac:dyDescent="0.3">
      <c r="A1386" s="131"/>
      <c r="B1386" s="131"/>
      <c r="C1386" s="131"/>
      <c r="D1386" s="131"/>
      <c r="E1386" s="131"/>
      <c r="F1386" s="154"/>
      <c r="G1386" s="127"/>
      <c r="H1386" s="127"/>
      <c r="I1386" s="127"/>
    </row>
    <row r="1387" spans="1:9" x14ac:dyDescent="0.3">
      <c r="A1387" s="131"/>
      <c r="B1387" s="131"/>
      <c r="C1387" s="154"/>
      <c r="D1387" s="154"/>
      <c r="E1387" s="128"/>
      <c r="F1387" s="129"/>
      <c r="G1387" s="127"/>
      <c r="H1387" s="127"/>
      <c r="I1387" s="127"/>
    </row>
    <row r="1388" spans="1:9" x14ac:dyDescent="0.3">
      <c r="A1388" s="131"/>
      <c r="B1388" s="131"/>
      <c r="C1388" s="154"/>
      <c r="D1388" s="154"/>
      <c r="E1388" s="154"/>
      <c r="F1388" s="154"/>
      <c r="G1388" s="127"/>
      <c r="H1388" s="127"/>
      <c r="I1388" s="127"/>
    </row>
    <row r="1389" spans="1:9" x14ac:dyDescent="0.3">
      <c r="A1389" s="131"/>
      <c r="B1389" s="131"/>
      <c r="C1389" s="156"/>
      <c r="D1389" s="156"/>
      <c r="E1389" s="156"/>
      <c r="F1389" s="156"/>
      <c r="G1389" s="127"/>
      <c r="H1389" s="127"/>
      <c r="I1389" s="127"/>
    </row>
    <row r="1390" spans="1:9" x14ac:dyDescent="0.3">
      <c r="A1390" s="144"/>
      <c r="B1390" s="144"/>
      <c r="C1390" s="156"/>
      <c r="D1390" s="156"/>
      <c r="E1390" s="156"/>
      <c r="F1390" s="156"/>
      <c r="G1390" s="127"/>
      <c r="H1390" s="127"/>
      <c r="I1390" s="127"/>
    </row>
    <row r="1391" spans="1:9" x14ac:dyDescent="0.3">
      <c r="A1391" s="144"/>
      <c r="B1391" s="144"/>
      <c r="C1391" s="154"/>
      <c r="D1391" s="154"/>
      <c r="E1391" s="154"/>
      <c r="F1391" s="154"/>
      <c r="G1391" s="127"/>
      <c r="H1391" s="127"/>
      <c r="I1391" s="127"/>
    </row>
    <row r="1392" spans="1:9" x14ac:dyDescent="0.3">
      <c r="A1392" s="156"/>
      <c r="B1392" s="156"/>
      <c r="C1392" s="131"/>
      <c r="D1392" s="131"/>
      <c r="E1392" s="131"/>
      <c r="F1392" s="154"/>
      <c r="G1392" s="127"/>
      <c r="H1392" s="127"/>
      <c r="I1392" s="127"/>
    </row>
    <row r="1393" spans="1:9" x14ac:dyDescent="0.3">
      <c r="A1393" s="156"/>
      <c r="B1393" s="156"/>
      <c r="C1393" s="131"/>
      <c r="D1393" s="131"/>
      <c r="E1393" s="131"/>
      <c r="F1393" s="154"/>
      <c r="G1393" s="127"/>
      <c r="H1393" s="127"/>
      <c r="I1393" s="127"/>
    </row>
    <row r="1394" spans="1:9" x14ac:dyDescent="0.3">
      <c r="A1394" s="154"/>
      <c r="B1394" s="154"/>
      <c r="C1394" s="131"/>
      <c r="D1394" s="131"/>
      <c r="E1394" s="131"/>
      <c r="F1394" s="154"/>
      <c r="G1394" s="127"/>
      <c r="H1394" s="127"/>
      <c r="I1394" s="127"/>
    </row>
    <row r="1395" spans="1:9" x14ac:dyDescent="0.3">
      <c r="A1395" s="131"/>
      <c r="B1395" s="131"/>
      <c r="C1395" s="131"/>
      <c r="D1395" s="131"/>
      <c r="E1395" s="131"/>
      <c r="F1395" s="154"/>
      <c r="G1395" s="127"/>
      <c r="H1395" s="127"/>
      <c r="I1395" s="127"/>
    </row>
    <row r="1396" spans="1:9" x14ac:dyDescent="0.3">
      <c r="A1396" s="131"/>
      <c r="B1396" s="131"/>
      <c r="C1396" s="131"/>
      <c r="D1396" s="131"/>
      <c r="E1396" s="131"/>
      <c r="F1396" s="154"/>
      <c r="G1396" s="127"/>
      <c r="H1396" s="127"/>
      <c r="I1396" s="127"/>
    </row>
    <row r="1397" spans="1:9" x14ac:dyDescent="0.3">
      <c r="A1397" s="131"/>
      <c r="B1397" s="131"/>
      <c r="C1397" s="154"/>
      <c r="D1397" s="154"/>
      <c r="E1397" s="128"/>
      <c r="F1397" s="129"/>
      <c r="G1397" s="127"/>
      <c r="H1397" s="127"/>
      <c r="I1397" s="127"/>
    </row>
    <row r="1398" spans="1:9" x14ac:dyDescent="0.3">
      <c r="A1398" s="131"/>
      <c r="B1398" s="131"/>
      <c r="C1398" s="154"/>
      <c r="D1398" s="154"/>
      <c r="E1398" s="154"/>
      <c r="F1398" s="154"/>
      <c r="G1398" s="127"/>
      <c r="H1398" s="127"/>
      <c r="I1398" s="127"/>
    </row>
    <row r="1399" spans="1:9" x14ac:dyDescent="0.3">
      <c r="A1399" s="131"/>
      <c r="B1399" s="131"/>
      <c r="C1399" s="153"/>
      <c r="D1399" s="153"/>
      <c r="E1399" s="153"/>
      <c r="F1399" s="153"/>
      <c r="G1399" s="127"/>
      <c r="H1399" s="127"/>
      <c r="I1399" s="127"/>
    </row>
    <row r="1400" spans="1:9" x14ac:dyDescent="0.3">
      <c r="A1400" s="144"/>
      <c r="B1400" s="144"/>
      <c r="C1400" s="153"/>
      <c r="D1400" s="153"/>
      <c r="E1400" s="153"/>
      <c r="F1400" s="153"/>
      <c r="G1400" s="127"/>
      <c r="H1400" s="127"/>
      <c r="I1400" s="127"/>
    </row>
    <row r="1401" spans="1:9" x14ac:dyDescent="0.3">
      <c r="A1401" s="144"/>
      <c r="B1401" s="144"/>
      <c r="C1401" s="144"/>
      <c r="D1401" s="144"/>
      <c r="E1401" s="153"/>
      <c r="F1401" s="153"/>
      <c r="G1401" s="127"/>
      <c r="H1401" s="127"/>
      <c r="I1401" s="127"/>
    </row>
    <row r="1402" spans="1:9" x14ac:dyDescent="0.3">
      <c r="A1402" s="153"/>
      <c r="B1402" s="153"/>
      <c r="C1402" s="131"/>
      <c r="D1402" s="125"/>
      <c r="E1402" s="153"/>
      <c r="F1402" s="153"/>
      <c r="G1402" s="127"/>
      <c r="H1402" s="127"/>
      <c r="I1402" s="127"/>
    </row>
    <row r="1403" spans="1:9" x14ac:dyDescent="0.3">
      <c r="A1403" s="153"/>
      <c r="B1403" s="153"/>
      <c r="C1403" s="131"/>
      <c r="D1403" s="125"/>
      <c r="E1403" s="153"/>
      <c r="F1403" s="153"/>
      <c r="G1403" s="127"/>
      <c r="H1403" s="127"/>
      <c r="I1403" s="127"/>
    </row>
    <row r="1404" spans="1:9" x14ac:dyDescent="0.3">
      <c r="A1404" s="144"/>
      <c r="B1404" s="144"/>
      <c r="C1404" s="131"/>
      <c r="D1404" s="125"/>
      <c r="E1404" s="153"/>
      <c r="F1404" s="153"/>
      <c r="G1404" s="127"/>
      <c r="H1404" s="127"/>
      <c r="I1404" s="127"/>
    </row>
    <row r="1405" spans="1:9" x14ac:dyDescent="0.3">
      <c r="A1405" s="155"/>
      <c r="B1405" s="131"/>
      <c r="C1405" s="131"/>
      <c r="D1405" s="125"/>
      <c r="E1405" s="153"/>
      <c r="F1405" s="153"/>
      <c r="G1405" s="127"/>
      <c r="H1405" s="127"/>
      <c r="I1405" s="127"/>
    </row>
    <row r="1406" spans="1:9" x14ac:dyDescent="0.3">
      <c r="A1406" s="155"/>
      <c r="B1406" s="131"/>
      <c r="C1406" s="131"/>
      <c r="D1406" s="125"/>
      <c r="E1406" s="153"/>
      <c r="F1406" s="153"/>
      <c r="G1406" s="127"/>
      <c r="H1406" s="127"/>
      <c r="I1406" s="127"/>
    </row>
    <row r="1407" spans="1:9" x14ac:dyDescent="0.3">
      <c r="A1407" s="144"/>
      <c r="B1407" s="131"/>
      <c r="C1407" s="131"/>
      <c r="D1407" s="125"/>
      <c r="E1407" s="153"/>
      <c r="F1407" s="153"/>
      <c r="G1407" s="127"/>
      <c r="H1407" s="127"/>
      <c r="I1407" s="127"/>
    </row>
    <row r="1408" spans="1:9" x14ac:dyDescent="0.3">
      <c r="A1408" s="144"/>
      <c r="B1408" s="131"/>
      <c r="C1408" s="131"/>
      <c r="D1408" s="125"/>
      <c r="E1408" s="153"/>
      <c r="F1408" s="153"/>
      <c r="G1408" s="127"/>
      <c r="H1408" s="127"/>
      <c r="I1408" s="127"/>
    </row>
    <row r="1409" spans="1:9" x14ac:dyDescent="0.3">
      <c r="A1409" s="144"/>
      <c r="B1409" s="131"/>
      <c r="C1409" s="131"/>
      <c r="D1409" s="125"/>
      <c r="E1409" s="153"/>
      <c r="F1409" s="153"/>
      <c r="G1409" s="127"/>
      <c r="H1409" s="127"/>
      <c r="I1409" s="127"/>
    </row>
    <row r="1410" spans="1:9" x14ac:dyDescent="0.3">
      <c r="A1410" s="144"/>
      <c r="B1410" s="131"/>
      <c r="C1410" s="131"/>
      <c r="D1410" s="125"/>
      <c r="E1410" s="153"/>
      <c r="F1410" s="153"/>
      <c r="G1410" s="127"/>
      <c r="H1410" s="127"/>
      <c r="I1410" s="127"/>
    </row>
    <row r="1411" spans="1:9" x14ac:dyDescent="0.3">
      <c r="A1411" s="144"/>
      <c r="B1411" s="131"/>
      <c r="C1411" s="131"/>
      <c r="D1411" s="125"/>
      <c r="E1411" s="153"/>
      <c r="F1411" s="153"/>
      <c r="G1411" s="127"/>
      <c r="H1411" s="127"/>
      <c r="I1411" s="127"/>
    </row>
    <row r="1412" spans="1:9" x14ac:dyDescent="0.3">
      <c r="A1412" s="155"/>
      <c r="B1412" s="131"/>
      <c r="C1412" s="131"/>
      <c r="D1412" s="125"/>
      <c r="E1412" s="153"/>
      <c r="F1412" s="153"/>
      <c r="G1412" s="127"/>
      <c r="H1412" s="127"/>
      <c r="I1412" s="127"/>
    </row>
    <row r="1413" spans="1:9" x14ac:dyDescent="0.3">
      <c r="A1413" s="155"/>
      <c r="B1413" s="131"/>
      <c r="C1413" s="153"/>
      <c r="D1413" s="128"/>
      <c r="E1413" s="129"/>
      <c r="F1413" s="153"/>
      <c r="G1413" s="127"/>
      <c r="H1413" s="127"/>
      <c r="I1413" s="127"/>
    </row>
    <row r="1414" spans="1:9" x14ac:dyDescent="0.3">
      <c r="A1414" s="144"/>
      <c r="B1414" s="131"/>
      <c r="C1414" s="153"/>
      <c r="D1414" s="153"/>
      <c r="E1414" s="153"/>
      <c r="F1414" s="153"/>
      <c r="G1414" s="127"/>
      <c r="H1414" s="127"/>
      <c r="I1414" s="127"/>
    </row>
    <row r="1415" spans="1:9" x14ac:dyDescent="0.3">
      <c r="A1415" s="144"/>
      <c r="B1415" s="131"/>
      <c r="C1415" s="151"/>
      <c r="D1415" s="151"/>
      <c r="E1415" s="151"/>
      <c r="F1415" s="154"/>
      <c r="G1415" s="127"/>
      <c r="H1415" s="127"/>
      <c r="I1415" s="127"/>
    </row>
    <row r="1416" spans="1:9" x14ac:dyDescent="0.3">
      <c r="A1416" s="153"/>
      <c r="B1416" s="131"/>
      <c r="C1416" s="153"/>
      <c r="D1416" s="153"/>
      <c r="E1416" s="153"/>
      <c r="F1416" s="153"/>
      <c r="G1416" s="127"/>
      <c r="H1416" s="127"/>
      <c r="I1416" s="127"/>
    </row>
    <row r="1417" spans="1:9" x14ac:dyDescent="0.3">
      <c r="A1417" s="153"/>
      <c r="B1417" s="153"/>
      <c r="C1417" s="153"/>
      <c r="D1417" s="153"/>
      <c r="E1417" s="153"/>
      <c r="F1417" s="153"/>
      <c r="G1417" s="127"/>
      <c r="H1417" s="127"/>
      <c r="I1417" s="127"/>
    </row>
    <row r="1418" spans="1:9" x14ac:dyDescent="0.3">
      <c r="A1418" s="151"/>
      <c r="B1418" s="151"/>
      <c r="C1418" s="153"/>
      <c r="D1418" s="153"/>
      <c r="E1418" s="153"/>
      <c r="F1418" s="153"/>
      <c r="G1418" s="127"/>
      <c r="H1418" s="127"/>
      <c r="I1418" s="127"/>
    </row>
    <row r="1419" spans="1:9" x14ac:dyDescent="0.3">
      <c r="A1419" s="153"/>
      <c r="B1419" s="153"/>
      <c r="C1419" s="153"/>
      <c r="D1419" s="153"/>
      <c r="E1419" s="153"/>
      <c r="F1419" s="153"/>
      <c r="G1419" s="127"/>
      <c r="H1419" s="127"/>
      <c r="I1419" s="127"/>
    </row>
    <row r="1420" spans="1:9" x14ac:dyDescent="0.3">
      <c r="A1420" s="153"/>
      <c r="B1420" s="153"/>
      <c r="C1420" s="153"/>
      <c r="D1420" s="153"/>
      <c r="E1420" s="153"/>
      <c r="F1420" s="153"/>
      <c r="G1420" s="127"/>
      <c r="H1420" s="127"/>
      <c r="I1420" s="127"/>
    </row>
    <row r="1421" spans="1:9" x14ac:dyDescent="0.3">
      <c r="A1421" s="144"/>
      <c r="B1421" s="144"/>
      <c r="C1421" s="153"/>
      <c r="D1421" s="153"/>
      <c r="E1421" s="153"/>
      <c r="F1421" s="153"/>
      <c r="G1421" s="127"/>
      <c r="H1421" s="127"/>
      <c r="I1421" s="127"/>
    </row>
    <row r="1422" spans="1:9" x14ac:dyDescent="0.3">
      <c r="A1422" s="155"/>
      <c r="B1422" s="131"/>
      <c r="C1422" s="153"/>
      <c r="D1422" s="153"/>
      <c r="E1422" s="153"/>
      <c r="F1422" s="153"/>
      <c r="G1422" s="127"/>
      <c r="H1422" s="127"/>
      <c r="I1422" s="127"/>
    </row>
    <row r="1423" spans="1:9" x14ac:dyDescent="0.3">
      <c r="A1423" s="155"/>
      <c r="B1423" s="131"/>
      <c r="C1423" s="129"/>
      <c r="D1423" s="153"/>
      <c r="E1423" s="153"/>
      <c r="F1423" s="153"/>
      <c r="G1423" s="127"/>
      <c r="H1423" s="127"/>
      <c r="I1423" s="127"/>
    </row>
    <row r="1424" spans="1:9" x14ac:dyDescent="0.3">
      <c r="A1424" s="155"/>
      <c r="B1424" s="131"/>
      <c r="C1424" s="151"/>
      <c r="D1424" s="151"/>
      <c r="E1424" s="151"/>
      <c r="F1424" s="151"/>
      <c r="G1424" s="127"/>
      <c r="H1424" s="127"/>
      <c r="I1424" s="127"/>
    </row>
    <row r="1425" spans="1:9" x14ac:dyDescent="0.3">
      <c r="A1425" s="155"/>
      <c r="B1425" s="131"/>
      <c r="C1425" s="151"/>
      <c r="D1425" s="151"/>
      <c r="E1425" s="151"/>
      <c r="F1425" s="151"/>
      <c r="G1425" s="127"/>
      <c r="H1425" s="127"/>
      <c r="I1425" s="127"/>
    </row>
    <row r="1426" spans="1:9" x14ac:dyDescent="0.3">
      <c r="A1426" s="153"/>
      <c r="B1426" s="128"/>
      <c r="C1426" s="151"/>
      <c r="D1426" s="151"/>
      <c r="E1426" s="151"/>
      <c r="F1426" s="151"/>
      <c r="G1426" s="127"/>
      <c r="H1426" s="127"/>
      <c r="I1426" s="127"/>
    </row>
    <row r="1427" spans="1:9" x14ac:dyDescent="0.3">
      <c r="A1427" s="151"/>
      <c r="B1427" s="151"/>
      <c r="C1427" s="153"/>
      <c r="D1427" s="151"/>
      <c r="E1427" s="151"/>
      <c r="F1427" s="151"/>
      <c r="G1427" s="127"/>
      <c r="H1427" s="127"/>
      <c r="I1427" s="127"/>
    </row>
    <row r="1428" spans="1:9" x14ac:dyDescent="0.3">
      <c r="A1428" s="151"/>
      <c r="B1428" s="151"/>
      <c r="C1428" s="153"/>
      <c r="D1428" s="151"/>
      <c r="E1428" s="151"/>
      <c r="F1428" s="151"/>
      <c r="G1428" s="127"/>
      <c r="H1428" s="127"/>
      <c r="I1428" s="127"/>
    </row>
    <row r="1429" spans="1:9" x14ac:dyDescent="0.3">
      <c r="A1429" s="151"/>
      <c r="B1429" s="151"/>
      <c r="C1429" s="153"/>
      <c r="D1429" s="151"/>
      <c r="E1429" s="151"/>
      <c r="F1429" s="151"/>
      <c r="G1429" s="127"/>
      <c r="H1429" s="127"/>
      <c r="I1429" s="127"/>
    </row>
    <row r="1430" spans="1:9" x14ac:dyDescent="0.3">
      <c r="A1430" s="144"/>
      <c r="B1430" s="144"/>
      <c r="C1430" s="153"/>
      <c r="D1430" s="151"/>
      <c r="E1430" s="151"/>
      <c r="F1430" s="151"/>
      <c r="G1430" s="127"/>
      <c r="H1430" s="127"/>
      <c r="I1430" s="127"/>
    </row>
    <row r="1431" spans="1:9" x14ac:dyDescent="0.3">
      <c r="A1431" s="155"/>
      <c r="B1431" s="131"/>
      <c r="C1431" s="153"/>
      <c r="D1431" s="151"/>
      <c r="E1431" s="151"/>
      <c r="F1431" s="151"/>
      <c r="G1431" s="127"/>
      <c r="H1431" s="127"/>
      <c r="I1431" s="127"/>
    </row>
    <row r="1432" spans="1:9" x14ac:dyDescent="0.3">
      <c r="A1432" s="155"/>
      <c r="B1432" s="131"/>
      <c r="C1432" s="129"/>
      <c r="D1432" s="151"/>
      <c r="E1432" s="151"/>
      <c r="F1432" s="151"/>
      <c r="G1432" s="127"/>
      <c r="H1432" s="127"/>
      <c r="I1432" s="127"/>
    </row>
    <row r="1433" spans="1:9" x14ac:dyDescent="0.3">
      <c r="A1433" s="155"/>
      <c r="B1433" s="131"/>
      <c r="C1433" s="151"/>
      <c r="D1433" s="151"/>
      <c r="E1433" s="151"/>
      <c r="F1433" s="151"/>
      <c r="G1433" s="127"/>
      <c r="H1433" s="127"/>
      <c r="I1433" s="127"/>
    </row>
    <row r="1434" spans="1:9" x14ac:dyDescent="0.3">
      <c r="A1434" s="155"/>
      <c r="B1434" s="131"/>
      <c r="C1434" s="151"/>
      <c r="D1434" s="151"/>
      <c r="E1434" s="151"/>
      <c r="F1434" s="151"/>
      <c r="G1434" s="127"/>
      <c r="H1434" s="127"/>
      <c r="I1434" s="127"/>
    </row>
    <row r="1435" spans="1:9" x14ac:dyDescent="0.3">
      <c r="A1435" s="153"/>
      <c r="B1435" s="128"/>
      <c r="C1435" s="151"/>
      <c r="D1435" s="151"/>
      <c r="E1435" s="151"/>
      <c r="F1435" s="151"/>
      <c r="G1435" s="127"/>
      <c r="H1435" s="127"/>
      <c r="I1435" s="127"/>
    </row>
    <row r="1436" spans="1:9" x14ac:dyDescent="0.3">
      <c r="A1436" s="151"/>
      <c r="B1436" s="151"/>
      <c r="C1436" s="151"/>
      <c r="D1436" s="151"/>
      <c r="E1436" s="151"/>
      <c r="F1436" s="151"/>
      <c r="G1436" s="127"/>
      <c r="H1436" s="127"/>
      <c r="I1436" s="127"/>
    </row>
    <row r="1437" spans="1:9" x14ac:dyDescent="0.3">
      <c r="A1437" s="151"/>
      <c r="B1437" s="151"/>
      <c r="C1437" s="129"/>
      <c r="D1437" s="151"/>
      <c r="E1437" s="151"/>
      <c r="F1437" s="151"/>
      <c r="G1437" s="127"/>
      <c r="H1437" s="127"/>
      <c r="I1437" s="127"/>
    </row>
    <row r="1438" spans="1:9" x14ac:dyDescent="0.3">
      <c r="A1438" s="151"/>
      <c r="B1438" s="151"/>
      <c r="C1438" s="151"/>
      <c r="D1438" s="151"/>
      <c r="E1438" s="151"/>
      <c r="F1438" s="151"/>
      <c r="G1438" s="127"/>
      <c r="H1438" s="127"/>
      <c r="I1438" s="127"/>
    </row>
    <row r="1439" spans="1:9" x14ac:dyDescent="0.3">
      <c r="A1439" s="144"/>
      <c r="B1439" s="144"/>
      <c r="C1439" s="151"/>
      <c r="D1439" s="151"/>
      <c r="E1439" s="151"/>
      <c r="F1439" s="151"/>
      <c r="G1439" s="127"/>
      <c r="H1439" s="127"/>
      <c r="I1439" s="127"/>
    </row>
    <row r="1440" spans="1:9" x14ac:dyDescent="0.3">
      <c r="A1440" s="155"/>
      <c r="B1440" s="128"/>
      <c r="C1440" s="151"/>
      <c r="D1440" s="151"/>
      <c r="E1440" s="151"/>
      <c r="F1440" s="151"/>
      <c r="G1440" s="127"/>
      <c r="H1440" s="127"/>
      <c r="I1440" s="127"/>
    </row>
    <row r="1441" spans="1:9" x14ac:dyDescent="0.3">
      <c r="A1441" s="151"/>
      <c r="B1441" s="151"/>
      <c r="C1441" s="131"/>
      <c r="D1441" s="131"/>
      <c r="E1441" s="151"/>
      <c r="F1441" s="151"/>
      <c r="G1441" s="127"/>
      <c r="H1441" s="127"/>
      <c r="I1441" s="127"/>
    </row>
    <row r="1442" spans="1:9" x14ac:dyDescent="0.3">
      <c r="A1442" s="151"/>
      <c r="B1442" s="151"/>
      <c r="C1442" s="131"/>
      <c r="D1442" s="131"/>
      <c r="E1442" s="151"/>
      <c r="F1442" s="151"/>
      <c r="G1442" s="127"/>
      <c r="H1442" s="127"/>
      <c r="I1442" s="127"/>
    </row>
    <row r="1443" spans="1:9" x14ac:dyDescent="0.3">
      <c r="A1443" s="151"/>
      <c r="B1443" s="151"/>
      <c r="C1443" s="131"/>
      <c r="D1443" s="131"/>
      <c r="E1443" s="151"/>
      <c r="F1443" s="151"/>
      <c r="G1443" s="127"/>
      <c r="H1443" s="127"/>
      <c r="I1443" s="127"/>
    </row>
    <row r="1444" spans="1:9" x14ac:dyDescent="0.3">
      <c r="A1444" s="144"/>
      <c r="B1444" s="131"/>
      <c r="C1444" s="131"/>
      <c r="D1444" s="131"/>
      <c r="E1444" s="151"/>
      <c r="F1444" s="151"/>
      <c r="G1444" s="127"/>
      <c r="H1444" s="127"/>
      <c r="I1444" s="127"/>
    </row>
    <row r="1445" spans="1:9" x14ac:dyDescent="0.3">
      <c r="A1445" s="155"/>
      <c r="B1445" s="131"/>
      <c r="C1445" s="131"/>
      <c r="D1445" s="131"/>
      <c r="E1445" s="151"/>
      <c r="F1445" s="151"/>
      <c r="G1445" s="127"/>
      <c r="H1445" s="127"/>
      <c r="I1445" s="127"/>
    </row>
    <row r="1446" spans="1:9" x14ac:dyDescent="0.3">
      <c r="A1446" s="155"/>
      <c r="B1446" s="131"/>
      <c r="C1446" s="131"/>
      <c r="D1446" s="131"/>
      <c r="E1446" s="151"/>
      <c r="F1446" s="151"/>
      <c r="G1446" s="127"/>
      <c r="H1446" s="127"/>
      <c r="I1446" s="127"/>
    </row>
    <row r="1447" spans="1:9" x14ac:dyDescent="0.3">
      <c r="A1447" s="155"/>
      <c r="B1447" s="131"/>
      <c r="C1447" s="151"/>
      <c r="D1447" s="128"/>
      <c r="E1447" s="129"/>
      <c r="F1447" s="151"/>
      <c r="G1447" s="127"/>
      <c r="H1447" s="127"/>
      <c r="I1447" s="127"/>
    </row>
    <row r="1448" spans="1:9" x14ac:dyDescent="0.3">
      <c r="A1448" s="155"/>
      <c r="B1448" s="131"/>
      <c r="C1448" s="151"/>
      <c r="D1448" s="151"/>
      <c r="E1448" s="151"/>
      <c r="F1448" s="151"/>
      <c r="G1448" s="127"/>
      <c r="H1448" s="127"/>
      <c r="I1448" s="127"/>
    </row>
    <row r="1449" spans="1:9" x14ac:dyDescent="0.3">
      <c r="A1449" s="161"/>
      <c r="B1449" s="162"/>
      <c r="C1449" s="163"/>
      <c r="D1449" s="163"/>
      <c r="E1449" s="163"/>
      <c r="F1449" s="163"/>
      <c r="G1449" s="123"/>
    </row>
    <row r="1450" spans="1:9" x14ac:dyDescent="0.3">
      <c r="A1450" s="164"/>
      <c r="B1450" s="164"/>
      <c r="C1450" s="163"/>
      <c r="D1450" s="163"/>
      <c r="E1450" s="163"/>
      <c r="F1450" s="163"/>
      <c r="G1450" s="123"/>
    </row>
    <row r="1451" spans="1:9" x14ac:dyDescent="0.3">
      <c r="A1451" s="164"/>
      <c r="B1451" s="164"/>
      <c r="C1451" s="165"/>
      <c r="D1451" s="165"/>
      <c r="E1451" s="165"/>
      <c r="F1451" s="165"/>
      <c r="G1451" s="123"/>
    </row>
    <row r="1452" spans="1:9" x14ac:dyDescent="0.3">
      <c r="A1452" s="163"/>
      <c r="B1452" s="163"/>
      <c r="C1452" s="165"/>
      <c r="D1452" s="165"/>
      <c r="E1452" s="165"/>
      <c r="F1452" s="165"/>
      <c r="G1452" s="123"/>
    </row>
    <row r="1453" spans="1:9" x14ac:dyDescent="0.3">
      <c r="A1453" s="163"/>
      <c r="B1453" s="163"/>
      <c r="C1453" s="165"/>
      <c r="D1453" s="165"/>
      <c r="E1453" s="165"/>
      <c r="F1453" s="165"/>
      <c r="G1453" s="123"/>
    </row>
    <row r="1454" spans="1:9" x14ac:dyDescent="0.3">
      <c r="A1454" s="165"/>
      <c r="B1454" s="165"/>
      <c r="C1454" s="165"/>
      <c r="D1454" s="165"/>
      <c r="E1454" s="165"/>
      <c r="F1454" s="165"/>
      <c r="G1454" s="123"/>
    </row>
    <row r="1455" spans="1:9" x14ac:dyDescent="0.3">
      <c r="A1455" s="166"/>
      <c r="B1455" s="144"/>
      <c r="C1455" s="165"/>
      <c r="D1455" s="165"/>
      <c r="E1455" s="165"/>
      <c r="F1455" s="165"/>
      <c r="G1455" s="123"/>
    </row>
    <row r="1456" spans="1:9" x14ac:dyDescent="0.3">
      <c r="A1456" s="161"/>
      <c r="B1456" s="162"/>
      <c r="C1456" s="165"/>
      <c r="D1456" s="165"/>
      <c r="E1456" s="165"/>
      <c r="F1456" s="165"/>
      <c r="G1456" s="123"/>
    </row>
    <row r="1457" spans="1:7" x14ac:dyDescent="0.3">
      <c r="A1457" s="161"/>
      <c r="B1457" s="162"/>
      <c r="C1457" s="165"/>
      <c r="D1457" s="165"/>
      <c r="E1457" s="165"/>
      <c r="F1457" s="165"/>
      <c r="G1457" s="123"/>
    </row>
    <row r="1458" spans="1:7" x14ac:dyDescent="0.3">
      <c r="A1458" s="161"/>
      <c r="B1458" s="162"/>
      <c r="C1458" s="167"/>
      <c r="D1458" s="164"/>
      <c r="E1458" s="164"/>
      <c r="F1458" s="164"/>
      <c r="G1458" s="123"/>
    </row>
    <row r="1459" spans="1:7" x14ac:dyDescent="0.3">
      <c r="A1459" s="161"/>
      <c r="B1459" s="162"/>
      <c r="C1459" s="164"/>
      <c r="D1459" s="164"/>
      <c r="E1459" s="164"/>
      <c r="F1459" s="164"/>
      <c r="G1459" s="123"/>
    </row>
    <row r="1460" spans="1:7" x14ac:dyDescent="0.3">
      <c r="A1460" s="161"/>
      <c r="B1460" s="162"/>
      <c r="C1460" s="164"/>
      <c r="D1460" s="164"/>
      <c r="E1460" s="164"/>
      <c r="F1460" s="164"/>
      <c r="G1460" s="123"/>
    </row>
    <row r="1461" spans="1:7" x14ac:dyDescent="0.3">
      <c r="A1461" s="164"/>
      <c r="B1461" s="168"/>
      <c r="C1461" s="164"/>
      <c r="D1461" s="164"/>
      <c r="E1461" s="164"/>
      <c r="F1461" s="164"/>
      <c r="G1461" s="123"/>
    </row>
    <row r="1462" spans="1:7" x14ac:dyDescent="0.3">
      <c r="A1462" s="164"/>
      <c r="B1462" s="164"/>
      <c r="C1462" s="164"/>
      <c r="D1462" s="164"/>
      <c r="E1462" s="164"/>
      <c r="F1462" s="164"/>
      <c r="G1462" s="123"/>
    </row>
    <row r="1463" spans="1:7" x14ac:dyDescent="0.3">
      <c r="A1463" s="164"/>
      <c r="B1463" s="164"/>
      <c r="C1463" s="164"/>
      <c r="D1463" s="164"/>
      <c r="E1463" s="164"/>
      <c r="F1463" s="164"/>
      <c r="G1463" s="123"/>
    </row>
    <row r="1464" spans="1:7" x14ac:dyDescent="0.3">
      <c r="A1464" s="164"/>
      <c r="B1464" s="164"/>
      <c r="C1464" s="164"/>
      <c r="D1464" s="164"/>
      <c r="E1464" s="164"/>
      <c r="F1464" s="164"/>
      <c r="G1464" s="123"/>
    </row>
    <row r="1465" spans="1:7" x14ac:dyDescent="0.3">
      <c r="A1465" s="166"/>
      <c r="B1465" s="162"/>
      <c r="C1465" s="164"/>
      <c r="D1465" s="164"/>
      <c r="E1465" s="164"/>
      <c r="F1465" s="164"/>
      <c r="G1465" s="123"/>
    </row>
    <row r="1466" spans="1:7" x14ac:dyDescent="0.3">
      <c r="A1466" s="169"/>
      <c r="B1466" s="162"/>
      <c r="C1466" s="164"/>
      <c r="D1466" s="164"/>
      <c r="E1466" s="164"/>
      <c r="F1466" s="164"/>
      <c r="G1466" s="123"/>
    </row>
    <row r="1467" spans="1:7" x14ac:dyDescent="0.3">
      <c r="A1467" s="169"/>
      <c r="B1467" s="162"/>
      <c r="C1467" s="164"/>
      <c r="D1467" s="164"/>
      <c r="E1467" s="164"/>
      <c r="F1467" s="164"/>
      <c r="G1467" s="123"/>
    </row>
    <row r="1468" spans="1:7" x14ac:dyDescent="0.3">
      <c r="A1468" s="169"/>
      <c r="B1468" s="162"/>
      <c r="C1468" s="164"/>
      <c r="D1468" s="164"/>
      <c r="E1468" s="164"/>
      <c r="F1468" s="164"/>
      <c r="G1468" s="123"/>
    </row>
    <row r="1469" spans="1:7" x14ac:dyDescent="0.3">
      <c r="A1469" s="169"/>
      <c r="B1469" s="162"/>
      <c r="C1469" s="164"/>
      <c r="D1469" s="164"/>
      <c r="E1469" s="164"/>
      <c r="F1469" s="164"/>
      <c r="G1469" s="123"/>
    </row>
    <row r="1470" spans="1:7" x14ac:dyDescent="0.3">
      <c r="A1470" s="161"/>
      <c r="B1470" s="162"/>
      <c r="C1470" s="164"/>
      <c r="D1470" s="164"/>
      <c r="E1470" s="164"/>
      <c r="F1470" s="164"/>
      <c r="G1470" s="123"/>
    </row>
    <row r="1471" spans="1:7" x14ac:dyDescent="0.3">
      <c r="A1471" s="161"/>
      <c r="B1471" s="162"/>
      <c r="C1471" s="167"/>
      <c r="D1471" s="164"/>
      <c r="E1471" s="164"/>
      <c r="F1471" s="164"/>
      <c r="G1471" s="123"/>
    </row>
    <row r="1472" spans="1:7" x14ac:dyDescent="0.3">
      <c r="A1472" s="169"/>
      <c r="B1472" s="162"/>
      <c r="C1472" s="164"/>
      <c r="D1472" s="164"/>
      <c r="E1472" s="164"/>
      <c r="F1472" s="164"/>
      <c r="G1472" s="123"/>
    </row>
    <row r="1473" spans="1:7" x14ac:dyDescent="0.3">
      <c r="A1473" s="169"/>
      <c r="B1473" s="162"/>
      <c r="C1473" s="164"/>
      <c r="D1473" s="164"/>
      <c r="E1473" s="164"/>
      <c r="F1473" s="164"/>
      <c r="G1473" s="123"/>
    </row>
    <row r="1474" spans="1:7" x14ac:dyDescent="0.3">
      <c r="A1474" s="164"/>
      <c r="B1474" s="168"/>
      <c r="C1474" s="164"/>
      <c r="D1474" s="164"/>
      <c r="E1474" s="164"/>
      <c r="F1474" s="164"/>
      <c r="G1474" s="123"/>
    </row>
    <row r="1475" spans="1:7" x14ac:dyDescent="0.3">
      <c r="A1475" s="164"/>
      <c r="B1475" s="164"/>
      <c r="C1475" s="164"/>
      <c r="D1475" s="164"/>
      <c r="E1475" s="164"/>
      <c r="F1475" s="164"/>
      <c r="G1475" s="123"/>
    </row>
    <row r="1476" spans="1:7" x14ac:dyDescent="0.3">
      <c r="A1476" s="164"/>
      <c r="B1476" s="164"/>
      <c r="C1476" s="164"/>
      <c r="D1476" s="164"/>
      <c r="E1476" s="164"/>
      <c r="F1476" s="164"/>
      <c r="G1476" s="123"/>
    </row>
    <row r="1477" spans="1:7" x14ac:dyDescent="0.3">
      <c r="A1477" s="164"/>
      <c r="B1477" s="164"/>
      <c r="C1477" s="164"/>
      <c r="D1477" s="164"/>
      <c r="E1477" s="164"/>
      <c r="F1477" s="164"/>
      <c r="G1477" s="123"/>
    </row>
    <row r="1478" spans="1:7" x14ac:dyDescent="0.3">
      <c r="A1478" s="166"/>
      <c r="B1478" s="162"/>
      <c r="C1478" s="164"/>
      <c r="D1478" s="164"/>
      <c r="E1478" s="164"/>
      <c r="F1478" s="164"/>
      <c r="G1478" s="123"/>
    </row>
    <row r="1479" spans="1:7" x14ac:dyDescent="0.3">
      <c r="A1479" s="169"/>
      <c r="B1479" s="162"/>
      <c r="C1479" s="164"/>
      <c r="D1479" s="164"/>
      <c r="E1479" s="164"/>
      <c r="F1479" s="164"/>
      <c r="G1479" s="123"/>
    </row>
    <row r="1480" spans="1:7" x14ac:dyDescent="0.3">
      <c r="A1480" s="169"/>
      <c r="B1480" s="162"/>
      <c r="C1480" s="164"/>
      <c r="D1480" s="164"/>
      <c r="E1480" s="164"/>
      <c r="F1480" s="164"/>
      <c r="G1480" s="123"/>
    </row>
    <row r="1481" spans="1:7" x14ac:dyDescent="0.3">
      <c r="A1481" s="169"/>
      <c r="B1481" s="162"/>
      <c r="C1481" s="164"/>
      <c r="D1481" s="164"/>
      <c r="E1481" s="164"/>
      <c r="F1481" s="164"/>
      <c r="G1481" s="123"/>
    </row>
    <row r="1482" spans="1:7" x14ac:dyDescent="0.3">
      <c r="A1482" s="169"/>
      <c r="B1482" s="162"/>
      <c r="C1482" s="164"/>
      <c r="D1482" s="164"/>
      <c r="E1482" s="164"/>
      <c r="F1482" s="164"/>
      <c r="G1482" s="123"/>
    </row>
    <row r="1483" spans="1:7" x14ac:dyDescent="0.3">
      <c r="A1483" s="161"/>
      <c r="B1483" s="162"/>
      <c r="C1483" s="164"/>
      <c r="D1483" s="164"/>
      <c r="E1483" s="164"/>
      <c r="F1483" s="164"/>
      <c r="G1483" s="123"/>
    </row>
    <row r="1484" spans="1:7" x14ac:dyDescent="0.3">
      <c r="A1484" s="161"/>
      <c r="B1484" s="162"/>
      <c r="C1484" s="167"/>
      <c r="D1484" s="164"/>
      <c r="E1484" s="164"/>
      <c r="F1484" s="164"/>
      <c r="G1484" s="123"/>
    </row>
    <row r="1485" spans="1:7" x14ac:dyDescent="0.3">
      <c r="A1485" s="169"/>
      <c r="B1485" s="162"/>
      <c r="C1485" s="164"/>
      <c r="D1485" s="164"/>
      <c r="E1485" s="164"/>
      <c r="F1485" s="164"/>
      <c r="G1485" s="123"/>
    </row>
    <row r="1486" spans="1:7" x14ac:dyDescent="0.3">
      <c r="A1486" s="169"/>
      <c r="B1486" s="162"/>
      <c r="C1486" s="164"/>
      <c r="D1486" s="164"/>
      <c r="E1486" s="164"/>
      <c r="F1486" s="164"/>
      <c r="G1486" s="123"/>
    </row>
    <row r="1487" spans="1:7" x14ac:dyDescent="0.3">
      <c r="A1487" s="164"/>
      <c r="B1487" s="168"/>
      <c r="C1487" s="164"/>
      <c r="D1487" s="164"/>
      <c r="E1487" s="164"/>
      <c r="F1487" s="164"/>
      <c r="G1487" s="123"/>
    </row>
    <row r="1488" spans="1:7" x14ac:dyDescent="0.3">
      <c r="A1488" s="164"/>
      <c r="B1488" s="164"/>
      <c r="C1488" s="164"/>
      <c r="D1488" s="164"/>
      <c r="E1488" s="164"/>
      <c r="F1488" s="164"/>
      <c r="G1488" s="123"/>
    </row>
    <row r="1489" spans="1:7" x14ac:dyDescent="0.3">
      <c r="A1489" s="164"/>
      <c r="B1489" s="164"/>
      <c r="C1489" s="164"/>
      <c r="D1489" s="164"/>
      <c r="E1489" s="164"/>
      <c r="F1489" s="164"/>
      <c r="G1489" s="123"/>
    </row>
    <row r="1490" spans="1:7" x14ac:dyDescent="0.3">
      <c r="A1490" s="164"/>
      <c r="B1490" s="164"/>
      <c r="C1490" s="164"/>
      <c r="D1490" s="164"/>
      <c r="E1490" s="164"/>
      <c r="F1490" s="164"/>
      <c r="G1490" s="123"/>
    </row>
    <row r="1491" spans="1:7" x14ac:dyDescent="0.3">
      <c r="A1491" s="166"/>
      <c r="B1491" s="144"/>
      <c r="C1491" s="164"/>
      <c r="D1491" s="164"/>
      <c r="E1491" s="164"/>
      <c r="F1491" s="164"/>
      <c r="G1491" s="123"/>
    </row>
    <row r="1492" spans="1:7" x14ac:dyDescent="0.3">
      <c r="A1492" s="161"/>
      <c r="B1492" s="162"/>
      <c r="C1492" s="164"/>
      <c r="D1492" s="164"/>
      <c r="E1492" s="164"/>
      <c r="F1492" s="164"/>
      <c r="G1492" s="123"/>
    </row>
    <row r="1493" spans="1:7" x14ac:dyDescent="0.3">
      <c r="A1493" s="161"/>
      <c r="B1493" s="162"/>
      <c r="C1493" s="167"/>
      <c r="D1493" s="164"/>
      <c r="E1493" s="164"/>
      <c r="F1493" s="164"/>
      <c r="G1493" s="123"/>
    </row>
    <row r="1494" spans="1:7" x14ac:dyDescent="0.3">
      <c r="A1494" s="161"/>
      <c r="B1494" s="162"/>
      <c r="C1494" s="164"/>
      <c r="D1494" s="164"/>
      <c r="E1494" s="164"/>
      <c r="F1494" s="164"/>
      <c r="G1494" s="123"/>
    </row>
    <row r="1495" spans="1:7" x14ac:dyDescent="0.3">
      <c r="A1495" s="161"/>
      <c r="B1495" s="162"/>
      <c r="C1495" s="164"/>
      <c r="D1495" s="164"/>
      <c r="E1495" s="164"/>
      <c r="F1495" s="164"/>
      <c r="G1495" s="123"/>
    </row>
    <row r="1496" spans="1:7" x14ac:dyDescent="0.3">
      <c r="A1496" s="164"/>
      <c r="B1496" s="168"/>
      <c r="C1496" s="164"/>
      <c r="D1496" s="164"/>
      <c r="E1496" s="164"/>
      <c r="F1496" s="164"/>
      <c r="G1496" s="123"/>
    </row>
    <row r="1497" spans="1:7" x14ac:dyDescent="0.3">
      <c r="A1497" s="164"/>
      <c r="B1497" s="164"/>
      <c r="C1497" s="164"/>
      <c r="D1497" s="164"/>
      <c r="E1497" s="164"/>
      <c r="F1497" s="164"/>
      <c r="G1497" s="123"/>
    </row>
    <row r="1498" spans="1:7" x14ac:dyDescent="0.3">
      <c r="A1498" s="164"/>
      <c r="B1498" s="164"/>
      <c r="C1498" s="164"/>
      <c r="D1498" s="164"/>
      <c r="E1498" s="164"/>
      <c r="F1498" s="164"/>
      <c r="G1498" s="123"/>
    </row>
    <row r="1499" spans="1:7" x14ac:dyDescent="0.3">
      <c r="A1499" s="164"/>
      <c r="B1499" s="164"/>
      <c r="C1499" s="167"/>
      <c r="D1499" s="164"/>
      <c r="E1499" s="164"/>
      <c r="F1499" s="164"/>
      <c r="G1499" s="123"/>
    </row>
    <row r="1500" spans="1:7" x14ac:dyDescent="0.3">
      <c r="A1500" s="166"/>
      <c r="B1500" s="144"/>
      <c r="C1500" s="164"/>
      <c r="D1500" s="164"/>
      <c r="E1500" s="164"/>
      <c r="F1500" s="164"/>
      <c r="G1500" s="123"/>
    </row>
    <row r="1501" spans="1:7" x14ac:dyDescent="0.3">
      <c r="A1501" s="161"/>
      <c r="B1501" s="162"/>
      <c r="C1501" s="164"/>
      <c r="D1501" s="164"/>
      <c r="E1501" s="164"/>
      <c r="F1501" s="164"/>
      <c r="G1501" s="123"/>
    </row>
    <row r="1502" spans="1:7" x14ac:dyDescent="0.3">
      <c r="A1502" s="161"/>
      <c r="B1502" s="168"/>
      <c r="C1502" s="163"/>
      <c r="D1502" s="163"/>
      <c r="E1502" s="163"/>
      <c r="F1502" s="170"/>
      <c r="G1502" s="123"/>
    </row>
    <row r="1503" spans="1:7" x14ac:dyDescent="0.3">
      <c r="A1503" s="164"/>
      <c r="B1503" s="164"/>
      <c r="C1503" s="163"/>
      <c r="D1503" s="163"/>
      <c r="E1503" s="163"/>
      <c r="F1503" s="170"/>
      <c r="G1503" s="123"/>
    </row>
    <row r="1504" spans="1:7" x14ac:dyDescent="0.3">
      <c r="A1504" s="164"/>
      <c r="B1504" s="164"/>
      <c r="C1504" s="165"/>
      <c r="D1504" s="165"/>
      <c r="E1504" s="165"/>
      <c r="F1504" s="165"/>
      <c r="G1504" s="123"/>
    </row>
    <row r="1505" spans="1:10" x14ac:dyDescent="0.3">
      <c r="A1505" s="163"/>
      <c r="B1505" s="163"/>
      <c r="C1505" s="166"/>
      <c r="D1505" s="166"/>
      <c r="E1505" s="171"/>
      <c r="F1505" s="171"/>
      <c r="G1505" s="157"/>
      <c r="H1505" s="157"/>
      <c r="I1505" s="157"/>
      <c r="J1505" s="157"/>
    </row>
    <row r="1506" spans="1:10" x14ac:dyDescent="0.3">
      <c r="A1506" s="163"/>
      <c r="B1506" s="163"/>
      <c r="C1506" s="162"/>
      <c r="D1506" s="162"/>
      <c r="E1506" s="171"/>
      <c r="F1506" s="171"/>
      <c r="G1506" s="157"/>
      <c r="H1506" s="157"/>
      <c r="I1506" s="157"/>
      <c r="J1506" s="157"/>
    </row>
    <row r="1507" spans="1:10" x14ac:dyDescent="0.3">
      <c r="A1507" s="165"/>
      <c r="B1507" s="165"/>
      <c r="C1507" s="162"/>
      <c r="D1507" s="162"/>
      <c r="E1507" s="171"/>
      <c r="F1507" s="171"/>
      <c r="G1507" s="157"/>
      <c r="H1507" s="157"/>
      <c r="I1507" s="157"/>
      <c r="J1507" s="157"/>
    </row>
    <row r="1508" spans="1:10" x14ac:dyDescent="0.3">
      <c r="A1508" s="166"/>
      <c r="B1508" s="166"/>
      <c r="C1508" s="162"/>
      <c r="D1508" s="162"/>
      <c r="E1508" s="171"/>
      <c r="F1508" s="171"/>
      <c r="G1508" s="157"/>
      <c r="H1508" s="157"/>
      <c r="I1508" s="157"/>
      <c r="J1508" s="157"/>
    </row>
    <row r="1509" spans="1:10" x14ac:dyDescent="0.3">
      <c r="A1509" s="166"/>
      <c r="B1509" s="162"/>
      <c r="C1509" s="162"/>
      <c r="D1509" s="162"/>
      <c r="E1509" s="171"/>
      <c r="F1509" s="171"/>
      <c r="G1509" s="157"/>
      <c r="H1509" s="157"/>
      <c r="I1509" s="157"/>
      <c r="J1509" s="157"/>
    </row>
    <row r="1510" spans="1:10" x14ac:dyDescent="0.3">
      <c r="A1510" s="166"/>
      <c r="B1510" s="162"/>
      <c r="C1510" s="162"/>
      <c r="D1510" s="162"/>
      <c r="E1510" s="171"/>
      <c r="F1510" s="171"/>
      <c r="G1510" s="157"/>
      <c r="H1510" s="157"/>
      <c r="I1510" s="157"/>
      <c r="J1510" s="157"/>
    </row>
    <row r="1511" spans="1:10" x14ac:dyDescent="0.3">
      <c r="A1511" s="166"/>
      <c r="B1511" s="162"/>
      <c r="C1511" s="162"/>
      <c r="D1511" s="162"/>
      <c r="E1511" s="171"/>
      <c r="F1511" s="171"/>
      <c r="G1511" s="157"/>
      <c r="H1511" s="157"/>
      <c r="I1511" s="157"/>
      <c r="J1511" s="157"/>
    </row>
    <row r="1512" spans="1:10" x14ac:dyDescent="0.3">
      <c r="A1512" s="166"/>
      <c r="B1512" s="162"/>
      <c r="C1512" s="171"/>
      <c r="D1512" s="168"/>
      <c r="E1512" s="167"/>
      <c r="F1512" s="171"/>
      <c r="G1512" s="157"/>
      <c r="H1512" s="157"/>
      <c r="I1512" s="157"/>
      <c r="J1512" s="157"/>
    </row>
    <row r="1513" spans="1:10" x14ac:dyDescent="0.3">
      <c r="A1513" s="166"/>
      <c r="B1513" s="162"/>
      <c r="C1513" s="171"/>
      <c r="D1513" s="171"/>
      <c r="E1513" s="171"/>
      <c r="F1513" s="171"/>
      <c r="G1513" s="157"/>
      <c r="H1513" s="157"/>
      <c r="I1513" s="157"/>
      <c r="J1513" s="157"/>
    </row>
    <row r="1514" spans="1:10" x14ac:dyDescent="0.3">
      <c r="A1514" s="166"/>
      <c r="B1514" s="162"/>
      <c r="C1514" s="163"/>
      <c r="D1514" s="163"/>
      <c r="E1514" s="163"/>
      <c r="F1514" s="170"/>
      <c r="G1514" s="123"/>
    </row>
    <row r="1515" spans="1:10" x14ac:dyDescent="0.3">
      <c r="A1515" s="166"/>
      <c r="B1515" s="166"/>
      <c r="C1515" s="163"/>
      <c r="D1515" s="163"/>
      <c r="E1515" s="163"/>
      <c r="F1515" s="170"/>
      <c r="G1515" s="123"/>
    </row>
    <row r="1516" spans="1:10" x14ac:dyDescent="0.3">
      <c r="A1516" s="166"/>
      <c r="B1516" s="166"/>
      <c r="C1516" s="170"/>
      <c r="D1516" s="170"/>
      <c r="E1516" s="170"/>
      <c r="F1516" s="170"/>
      <c r="G1516" s="123"/>
    </row>
    <row r="1517" spans="1:10" x14ac:dyDescent="0.3">
      <c r="A1517" s="163"/>
      <c r="B1517" s="163"/>
      <c r="C1517" s="166"/>
      <c r="D1517" s="166"/>
      <c r="E1517" s="165"/>
      <c r="F1517" s="165"/>
      <c r="G1517" s="123"/>
    </row>
    <row r="1518" spans="1:10" x14ac:dyDescent="0.3">
      <c r="A1518" s="163"/>
      <c r="B1518" s="163"/>
      <c r="C1518" s="162"/>
      <c r="D1518" s="162"/>
      <c r="E1518" s="165"/>
      <c r="F1518" s="165"/>
      <c r="G1518" s="123"/>
    </row>
    <row r="1519" spans="1:10" x14ac:dyDescent="0.3">
      <c r="A1519" s="170"/>
      <c r="B1519" s="170"/>
      <c r="C1519" s="162"/>
      <c r="D1519" s="162"/>
      <c r="E1519" s="165"/>
      <c r="F1519" s="165"/>
      <c r="G1519" s="123"/>
    </row>
    <row r="1520" spans="1:10" x14ac:dyDescent="0.3">
      <c r="A1520" s="166"/>
      <c r="B1520" s="166"/>
      <c r="C1520" s="162"/>
      <c r="D1520" s="162"/>
      <c r="E1520" s="165"/>
      <c r="F1520" s="165"/>
      <c r="G1520" s="123"/>
    </row>
    <row r="1521" spans="1:10" x14ac:dyDescent="0.3">
      <c r="A1521" s="161"/>
      <c r="B1521" s="131"/>
      <c r="C1521" s="162"/>
      <c r="D1521" s="162"/>
      <c r="E1521" s="165"/>
      <c r="F1521" s="165"/>
      <c r="G1521" s="123"/>
    </row>
    <row r="1522" spans="1:10" x14ac:dyDescent="0.3">
      <c r="A1522" s="161"/>
      <c r="B1522" s="131"/>
      <c r="C1522" s="129"/>
      <c r="D1522" s="168"/>
      <c r="E1522" s="167"/>
      <c r="F1522" s="165"/>
      <c r="G1522" s="123"/>
    </row>
    <row r="1523" spans="1:10" x14ac:dyDescent="0.3">
      <c r="A1523" s="161"/>
      <c r="B1523" s="131"/>
      <c r="C1523" s="165"/>
      <c r="D1523" s="165"/>
      <c r="E1523" s="165"/>
      <c r="F1523" s="165"/>
      <c r="G1523" s="123"/>
    </row>
    <row r="1524" spans="1:10" x14ac:dyDescent="0.3">
      <c r="A1524" s="161"/>
      <c r="B1524" s="131"/>
      <c r="C1524" s="165"/>
      <c r="D1524" s="165"/>
      <c r="E1524" s="165"/>
      <c r="F1524" s="165"/>
      <c r="G1524" s="123"/>
    </row>
    <row r="1525" spans="1:10" x14ac:dyDescent="0.3">
      <c r="A1525" s="154"/>
      <c r="B1525" s="128"/>
      <c r="C1525" s="165"/>
      <c r="D1525" s="165"/>
      <c r="E1525" s="165"/>
      <c r="F1525" s="165"/>
      <c r="G1525" s="123"/>
    </row>
    <row r="1526" spans="1:10" x14ac:dyDescent="0.3">
      <c r="A1526" s="165"/>
      <c r="B1526" s="165"/>
      <c r="C1526" s="165"/>
      <c r="D1526" s="165"/>
      <c r="E1526" s="165"/>
      <c r="F1526" s="165"/>
      <c r="G1526" s="123"/>
    </row>
    <row r="1527" spans="1:10" x14ac:dyDescent="0.3">
      <c r="A1527" s="164"/>
      <c r="B1527" s="164"/>
      <c r="C1527" s="168"/>
      <c r="D1527" s="167"/>
      <c r="E1527" s="165"/>
      <c r="F1527" s="165"/>
      <c r="G1527" s="123"/>
    </row>
    <row r="1528" spans="1:10" x14ac:dyDescent="0.3">
      <c r="A1528" s="164"/>
      <c r="B1528" s="164"/>
      <c r="C1528" s="165"/>
      <c r="D1528" s="165"/>
      <c r="E1528" s="165"/>
      <c r="F1528" s="165"/>
      <c r="G1528" s="123"/>
    </row>
    <row r="1529" spans="1:10" x14ac:dyDescent="0.3">
      <c r="A1529" s="164"/>
      <c r="B1529" s="164"/>
      <c r="C1529" s="165"/>
      <c r="D1529" s="165"/>
      <c r="E1529" s="165"/>
      <c r="F1529" s="165"/>
      <c r="G1529" s="123"/>
    </row>
    <row r="1530" spans="1:10" x14ac:dyDescent="0.3">
      <c r="A1530" s="166"/>
      <c r="B1530" s="166"/>
      <c r="C1530" s="165"/>
      <c r="D1530" s="165"/>
      <c r="E1530" s="165"/>
      <c r="F1530" s="165"/>
      <c r="G1530" s="123"/>
    </row>
    <row r="1531" spans="1:10" x14ac:dyDescent="0.3">
      <c r="A1531" s="164"/>
      <c r="B1531" s="164"/>
      <c r="C1531" s="165"/>
      <c r="D1531" s="165"/>
      <c r="E1531" s="165"/>
      <c r="F1531" s="165"/>
      <c r="G1531" s="123"/>
    </row>
    <row r="1532" spans="1:10" x14ac:dyDescent="0.3">
      <c r="A1532" s="164"/>
      <c r="B1532" s="164"/>
      <c r="C1532" s="168"/>
      <c r="D1532" s="167"/>
      <c r="E1532" s="165"/>
      <c r="F1532" s="165"/>
      <c r="G1532" s="123"/>
    </row>
    <row r="1533" spans="1:10" x14ac:dyDescent="0.3">
      <c r="A1533" s="164"/>
      <c r="B1533" s="164"/>
      <c r="C1533" s="165"/>
      <c r="D1533" s="165"/>
      <c r="E1533" s="165"/>
      <c r="F1533" s="165"/>
      <c r="G1533" s="123"/>
    </row>
    <row r="1534" spans="1:10" x14ac:dyDescent="0.3">
      <c r="A1534" s="164"/>
      <c r="B1534" s="164"/>
      <c r="C1534" s="165"/>
      <c r="D1534" s="165"/>
      <c r="E1534" s="165"/>
      <c r="F1534" s="165"/>
      <c r="G1534" s="123"/>
    </row>
    <row r="1535" spans="1:10" x14ac:dyDescent="0.3">
      <c r="A1535" s="166"/>
      <c r="B1535" s="166"/>
      <c r="C1535" s="172"/>
      <c r="D1535" s="172"/>
      <c r="E1535" s="172"/>
      <c r="F1535" s="173"/>
      <c r="G1535" s="93"/>
      <c r="H1535" s="90"/>
      <c r="I1535" s="90"/>
      <c r="J1535" s="90"/>
    </row>
    <row r="1536" spans="1:10" x14ac:dyDescent="0.3">
      <c r="A1536" s="165"/>
      <c r="B1536" s="165"/>
      <c r="C1536" s="165"/>
      <c r="D1536" s="165"/>
      <c r="E1536" s="165"/>
      <c r="F1536" s="165"/>
      <c r="G1536" s="123"/>
    </row>
    <row r="1537" spans="1:10" x14ac:dyDescent="0.3">
      <c r="A1537" s="164"/>
      <c r="B1537" s="164"/>
      <c r="C1537" s="165"/>
      <c r="D1537" s="165"/>
      <c r="E1537" s="165"/>
      <c r="F1537" s="165"/>
      <c r="G1537" s="123"/>
    </row>
    <row r="1538" spans="1:10" x14ac:dyDescent="0.3">
      <c r="A1538" s="172"/>
      <c r="B1538" s="172"/>
      <c r="C1538" s="165"/>
      <c r="D1538" s="165"/>
      <c r="E1538" s="165"/>
      <c r="F1538" s="165"/>
      <c r="G1538" s="123"/>
    </row>
    <row r="1539" spans="1:10" x14ac:dyDescent="0.3">
      <c r="A1539" s="165"/>
      <c r="B1539" s="165"/>
      <c r="C1539" s="165"/>
      <c r="D1539" s="165"/>
      <c r="E1539" s="165"/>
      <c r="F1539" s="165"/>
      <c r="G1539" s="123"/>
    </row>
    <row r="1540" spans="1:10" x14ac:dyDescent="0.3">
      <c r="A1540" s="166"/>
      <c r="B1540" s="166"/>
      <c r="C1540" s="165"/>
      <c r="D1540" s="165"/>
      <c r="E1540" s="165"/>
      <c r="F1540" s="165"/>
      <c r="G1540" s="123"/>
    </row>
    <row r="1541" spans="1:10" x14ac:dyDescent="0.3">
      <c r="A1541" s="166"/>
      <c r="B1541" s="162"/>
      <c r="C1541" s="167"/>
      <c r="D1541" s="165"/>
      <c r="E1541" s="165"/>
      <c r="F1541" s="165"/>
      <c r="G1541" s="123"/>
    </row>
    <row r="1542" spans="1:10" x14ac:dyDescent="0.3">
      <c r="A1542" s="161"/>
      <c r="B1542" s="162"/>
      <c r="C1542" s="129"/>
      <c r="D1542" s="165"/>
      <c r="E1542" s="165"/>
      <c r="F1542" s="165"/>
      <c r="G1542" s="123"/>
    </row>
    <row r="1543" spans="1:10" x14ac:dyDescent="0.3">
      <c r="A1543" s="161"/>
      <c r="B1543" s="162"/>
      <c r="C1543" s="170"/>
      <c r="D1543" s="170"/>
      <c r="E1543" s="170"/>
      <c r="F1543" s="170"/>
      <c r="G1543" s="123"/>
    </row>
    <row r="1544" spans="1:10" x14ac:dyDescent="0.3">
      <c r="A1544" s="174"/>
      <c r="B1544" s="168"/>
      <c r="C1544" s="165"/>
      <c r="D1544" s="165"/>
      <c r="E1544" s="165"/>
      <c r="F1544" s="165"/>
      <c r="G1544" s="123"/>
    </row>
    <row r="1545" spans="1:10" x14ac:dyDescent="0.3">
      <c r="A1545" s="174"/>
      <c r="B1545" s="128"/>
      <c r="C1545" s="168"/>
      <c r="D1545" s="167"/>
      <c r="E1545" s="154"/>
      <c r="F1545" s="154"/>
      <c r="G1545" s="127"/>
      <c r="H1545" s="127"/>
      <c r="I1545" s="127"/>
      <c r="J1545" s="127"/>
    </row>
    <row r="1546" spans="1:10" x14ac:dyDescent="0.3">
      <c r="A1546" s="170"/>
      <c r="B1546" s="170"/>
      <c r="C1546" s="154"/>
      <c r="D1546" s="154"/>
      <c r="E1546" s="154"/>
      <c r="F1546" s="154"/>
      <c r="G1546" s="127"/>
      <c r="H1546" s="127"/>
      <c r="I1546" s="127"/>
      <c r="J1546" s="127"/>
    </row>
    <row r="1547" spans="1:10" x14ac:dyDescent="0.3">
      <c r="A1547" s="165"/>
      <c r="B1547" s="165"/>
      <c r="C1547" s="172"/>
      <c r="D1547" s="154"/>
      <c r="E1547" s="154"/>
      <c r="F1547" s="154"/>
      <c r="G1547" s="127"/>
      <c r="H1547" s="127"/>
      <c r="I1547" s="127"/>
      <c r="J1547" s="127"/>
    </row>
    <row r="1548" spans="1:10" x14ac:dyDescent="0.3">
      <c r="A1548" s="144"/>
      <c r="B1548" s="144"/>
      <c r="C1548" s="165"/>
      <c r="D1548" s="154"/>
      <c r="E1548" s="154"/>
      <c r="F1548" s="154"/>
      <c r="G1548" s="127"/>
      <c r="H1548" s="127"/>
      <c r="I1548" s="127"/>
      <c r="J1548" s="127"/>
    </row>
    <row r="1549" spans="1:10" x14ac:dyDescent="0.3">
      <c r="A1549" s="144"/>
      <c r="B1549" s="131"/>
      <c r="C1549" s="165"/>
      <c r="D1549" s="154"/>
      <c r="E1549" s="154"/>
      <c r="F1549" s="154"/>
      <c r="G1549" s="127"/>
      <c r="H1549" s="127"/>
      <c r="I1549" s="127"/>
      <c r="J1549" s="127"/>
    </row>
    <row r="1550" spans="1:10" x14ac:dyDescent="0.3">
      <c r="A1550" s="172"/>
      <c r="B1550" s="172"/>
      <c r="C1550" s="165"/>
      <c r="D1550" s="154"/>
      <c r="E1550" s="154"/>
      <c r="F1550" s="154"/>
      <c r="G1550" s="127"/>
      <c r="H1550" s="127"/>
      <c r="I1550" s="127"/>
      <c r="J1550" s="127"/>
    </row>
    <row r="1551" spans="1:10" x14ac:dyDescent="0.3">
      <c r="A1551" s="165"/>
      <c r="B1551" s="165"/>
      <c r="C1551" s="165"/>
      <c r="D1551" s="154"/>
      <c r="E1551" s="154"/>
      <c r="F1551" s="154"/>
      <c r="G1551" s="127"/>
      <c r="H1551" s="127"/>
      <c r="I1551" s="127"/>
      <c r="J1551" s="127"/>
    </row>
    <row r="1552" spans="1:10" x14ac:dyDescent="0.3">
      <c r="A1552" s="166"/>
      <c r="B1552" s="166"/>
      <c r="C1552" s="167"/>
      <c r="D1552" s="154"/>
      <c r="E1552" s="154"/>
      <c r="F1552" s="154"/>
      <c r="G1552" s="127"/>
      <c r="H1552" s="127"/>
      <c r="I1552" s="127"/>
      <c r="J1552" s="127"/>
    </row>
    <row r="1553" spans="1:10" x14ac:dyDescent="0.3">
      <c r="A1553" s="166"/>
      <c r="B1553" s="162"/>
      <c r="C1553" s="154"/>
      <c r="D1553" s="154"/>
      <c r="E1553" s="154"/>
      <c r="F1553" s="154"/>
      <c r="G1553" s="127"/>
      <c r="H1553" s="127"/>
      <c r="I1553" s="127"/>
      <c r="J1553" s="127"/>
    </row>
    <row r="1554" spans="1:10" x14ac:dyDescent="0.3">
      <c r="A1554" s="166"/>
      <c r="B1554" s="162"/>
      <c r="C1554" s="170"/>
      <c r="D1554" s="170"/>
      <c r="E1554" s="154"/>
      <c r="F1554" s="154"/>
      <c r="G1554" s="127"/>
      <c r="H1554" s="127"/>
      <c r="I1554" s="127"/>
      <c r="J1554" s="127"/>
    </row>
    <row r="1555" spans="1:10" x14ac:dyDescent="0.3">
      <c r="A1555" s="174"/>
      <c r="B1555" s="168"/>
      <c r="C1555" s="165"/>
      <c r="D1555" s="165"/>
      <c r="E1555" s="154"/>
      <c r="F1555" s="154"/>
      <c r="G1555" s="127"/>
      <c r="H1555" s="127"/>
      <c r="I1555" s="127"/>
      <c r="J1555" s="127"/>
    </row>
    <row r="1556" spans="1:10" x14ac:dyDescent="0.3">
      <c r="A1556" s="155"/>
      <c r="B1556" s="131"/>
      <c r="C1556" s="168"/>
      <c r="D1556" s="167"/>
      <c r="E1556" s="165"/>
      <c r="F1556" s="165"/>
      <c r="G1556" s="123"/>
    </row>
    <row r="1557" spans="1:10" x14ac:dyDescent="0.3">
      <c r="A1557" s="170"/>
      <c r="B1557" s="170"/>
      <c r="C1557" s="165"/>
      <c r="D1557" s="165"/>
      <c r="E1557" s="165"/>
      <c r="F1557" s="165"/>
      <c r="G1557" s="123"/>
    </row>
    <row r="1558" spans="1:10" x14ac:dyDescent="0.3">
      <c r="A1558" s="165"/>
      <c r="B1558" s="165"/>
      <c r="C1558" s="170"/>
      <c r="D1558" s="170"/>
      <c r="E1558" s="170"/>
      <c r="F1558" s="170"/>
      <c r="G1558" s="123"/>
    </row>
    <row r="1559" spans="1:10" x14ac:dyDescent="0.3">
      <c r="A1559" s="144"/>
      <c r="B1559" s="144"/>
      <c r="C1559" s="165"/>
      <c r="D1559" s="165"/>
      <c r="E1559" s="165"/>
      <c r="F1559" s="165"/>
      <c r="G1559" s="123"/>
    </row>
    <row r="1560" spans="1:10" x14ac:dyDescent="0.3">
      <c r="A1560" s="165"/>
      <c r="B1560" s="165"/>
      <c r="C1560" s="165"/>
      <c r="D1560" s="165"/>
      <c r="E1560" s="165"/>
      <c r="F1560" s="165"/>
      <c r="G1560" s="123"/>
    </row>
    <row r="1561" spans="1:10" x14ac:dyDescent="0.3">
      <c r="A1561" s="170"/>
      <c r="B1561" s="170"/>
      <c r="C1561" s="165"/>
      <c r="D1561" s="165"/>
      <c r="E1561" s="165"/>
      <c r="F1561" s="165"/>
      <c r="G1561" s="123"/>
    </row>
    <row r="1562" spans="1:10" x14ac:dyDescent="0.3">
      <c r="A1562" s="165"/>
      <c r="B1562" s="165"/>
      <c r="C1562" s="165"/>
      <c r="D1562" s="165"/>
      <c r="E1562" s="165"/>
      <c r="F1562" s="165"/>
      <c r="G1562" s="123"/>
    </row>
    <row r="1563" spans="1:10" x14ac:dyDescent="0.3">
      <c r="A1563" s="166"/>
      <c r="B1563" s="166"/>
      <c r="C1563" s="165"/>
      <c r="D1563" s="165"/>
      <c r="E1563" s="165"/>
      <c r="F1563" s="165"/>
      <c r="G1563" s="123"/>
    </row>
    <row r="1564" spans="1:10" x14ac:dyDescent="0.3">
      <c r="A1564" s="166"/>
      <c r="B1564" s="162"/>
      <c r="C1564" s="167"/>
      <c r="D1564" s="165"/>
      <c r="E1564" s="165"/>
      <c r="F1564" s="165"/>
      <c r="G1564" s="123"/>
    </row>
    <row r="1565" spans="1:10" x14ac:dyDescent="0.3">
      <c r="A1565" s="166"/>
      <c r="B1565" s="162"/>
      <c r="C1565" s="154"/>
      <c r="D1565" s="165"/>
      <c r="E1565" s="165"/>
      <c r="F1565" s="165"/>
      <c r="G1565" s="123"/>
    </row>
    <row r="1566" spans="1:10" x14ac:dyDescent="0.3">
      <c r="A1566" s="166"/>
      <c r="B1566" s="162"/>
      <c r="C1566" s="170"/>
      <c r="D1566" s="170"/>
      <c r="E1566" s="170"/>
      <c r="F1566" s="165"/>
      <c r="G1566" s="123"/>
    </row>
    <row r="1567" spans="1:10" x14ac:dyDescent="0.3">
      <c r="A1567" s="174"/>
      <c r="B1567" s="168"/>
      <c r="C1567" s="154"/>
      <c r="D1567" s="165"/>
      <c r="E1567" s="165"/>
      <c r="F1567" s="165"/>
      <c r="G1567" s="123"/>
    </row>
    <row r="1568" spans="1:10" x14ac:dyDescent="0.3">
      <c r="A1568" s="155"/>
      <c r="B1568" s="131"/>
      <c r="C1568" s="168"/>
      <c r="D1568" s="167"/>
      <c r="E1568" s="165"/>
      <c r="F1568" s="165"/>
      <c r="G1568" s="123"/>
    </row>
    <row r="1569" spans="1:10" x14ac:dyDescent="0.3">
      <c r="A1569" s="170"/>
      <c r="B1569" s="170"/>
      <c r="C1569" s="154"/>
      <c r="D1569" s="165"/>
      <c r="E1569" s="165"/>
      <c r="F1569" s="165"/>
      <c r="G1569" s="123"/>
    </row>
    <row r="1570" spans="1:10" x14ac:dyDescent="0.3">
      <c r="A1570" s="155"/>
      <c r="B1570" s="142"/>
      <c r="C1570" s="170"/>
      <c r="D1570" s="170"/>
      <c r="E1570" s="170"/>
      <c r="F1570" s="170"/>
      <c r="G1570" s="123"/>
    </row>
    <row r="1571" spans="1:10" x14ac:dyDescent="0.3">
      <c r="A1571" s="144"/>
      <c r="B1571" s="144"/>
      <c r="C1571" s="129"/>
      <c r="D1571" s="165"/>
      <c r="E1571" s="165"/>
      <c r="F1571" s="165"/>
      <c r="G1571" s="123"/>
    </row>
    <row r="1572" spans="1:10" x14ac:dyDescent="0.3">
      <c r="A1572" s="155"/>
      <c r="B1572" s="131"/>
      <c r="C1572" s="129"/>
      <c r="D1572" s="165"/>
      <c r="E1572" s="165"/>
      <c r="F1572" s="165"/>
      <c r="G1572" s="123"/>
    </row>
    <row r="1573" spans="1:10" x14ac:dyDescent="0.3">
      <c r="A1573" s="170"/>
      <c r="B1573" s="170"/>
      <c r="C1573" s="129"/>
      <c r="D1573" s="165"/>
      <c r="E1573" s="165"/>
      <c r="F1573" s="165"/>
      <c r="G1573" s="123"/>
    </row>
    <row r="1574" spans="1:10" x14ac:dyDescent="0.3">
      <c r="A1574" s="154"/>
      <c r="B1574" s="128"/>
      <c r="C1574" s="129"/>
      <c r="D1574" s="165"/>
      <c r="E1574" s="165"/>
      <c r="F1574" s="165"/>
      <c r="G1574" s="123"/>
    </row>
    <row r="1575" spans="1:10" x14ac:dyDescent="0.3">
      <c r="A1575" s="166"/>
      <c r="B1575" s="166"/>
      <c r="C1575" s="129"/>
      <c r="D1575" s="165"/>
      <c r="E1575" s="165"/>
      <c r="F1575" s="165"/>
      <c r="G1575" s="123"/>
    </row>
    <row r="1576" spans="1:10" x14ac:dyDescent="0.3">
      <c r="A1576" s="166"/>
      <c r="B1576" s="162"/>
      <c r="C1576" s="129"/>
      <c r="D1576" s="165"/>
      <c r="E1576" s="165"/>
      <c r="F1576" s="165"/>
      <c r="G1576" s="123"/>
    </row>
    <row r="1577" spans="1:10" x14ac:dyDescent="0.3">
      <c r="A1577" s="166"/>
      <c r="B1577" s="162"/>
      <c r="C1577" s="129"/>
      <c r="D1577" s="165"/>
      <c r="E1577" s="165"/>
      <c r="F1577" s="165"/>
      <c r="G1577" s="123"/>
    </row>
    <row r="1578" spans="1:10" x14ac:dyDescent="0.3">
      <c r="A1578" s="166"/>
      <c r="B1578" s="162"/>
      <c r="C1578" s="129"/>
      <c r="D1578" s="154"/>
      <c r="E1578" s="154"/>
      <c r="F1578" s="154"/>
      <c r="G1578" s="127"/>
      <c r="H1578" s="175"/>
      <c r="I1578" s="175"/>
      <c r="J1578" s="175"/>
    </row>
    <row r="1579" spans="1:10" x14ac:dyDescent="0.3">
      <c r="A1579" s="166"/>
      <c r="B1579" s="162"/>
      <c r="C1579" s="170"/>
      <c r="D1579" s="170"/>
      <c r="E1579" s="170"/>
      <c r="F1579" s="170"/>
      <c r="G1579" s="123"/>
    </row>
    <row r="1580" spans="1:10" x14ac:dyDescent="0.3">
      <c r="A1580" s="161"/>
      <c r="B1580" s="162"/>
      <c r="C1580" s="129"/>
      <c r="D1580" s="165"/>
      <c r="E1580" s="165"/>
      <c r="F1580" s="165"/>
      <c r="G1580" s="123"/>
    </row>
    <row r="1581" spans="1:10" x14ac:dyDescent="0.3">
      <c r="A1581" s="161"/>
      <c r="B1581" s="162"/>
      <c r="C1581" s="167"/>
      <c r="D1581" s="154"/>
      <c r="E1581" s="154"/>
      <c r="F1581" s="154"/>
      <c r="G1581" s="127"/>
      <c r="H1581" s="127"/>
      <c r="I1581" s="127"/>
      <c r="J1581" s="127"/>
    </row>
  </sheetData>
  <mergeCells count="302">
    <mergeCell ref="N227:N230"/>
    <mergeCell ref="M192:M199"/>
    <mergeCell ref="M200:M205"/>
    <mergeCell ref="M206:M209"/>
    <mergeCell ref="M210:M213"/>
    <mergeCell ref="M214:M217"/>
    <mergeCell ref="M218:M222"/>
    <mergeCell ref="M223:M226"/>
    <mergeCell ref="M227:M230"/>
    <mergeCell ref="N192:N199"/>
    <mergeCell ref="N200:N205"/>
    <mergeCell ref="N206:N209"/>
    <mergeCell ref="N210:N213"/>
    <mergeCell ref="N214:N217"/>
    <mergeCell ref="N218:N222"/>
    <mergeCell ref="N223:N226"/>
    <mergeCell ref="N147:N153"/>
    <mergeCell ref="N154:N159"/>
    <mergeCell ref="N160:N163"/>
    <mergeCell ref="N164:N169"/>
    <mergeCell ref="N170:N173"/>
    <mergeCell ref="N174:N177"/>
    <mergeCell ref="N178:N181"/>
    <mergeCell ref="N182:N191"/>
    <mergeCell ref="N128:N146"/>
    <mergeCell ref="M147:M153"/>
    <mergeCell ref="M154:M159"/>
    <mergeCell ref="M160:M163"/>
    <mergeCell ref="M164:M169"/>
    <mergeCell ref="M170:M173"/>
    <mergeCell ref="M174:M177"/>
    <mergeCell ref="M178:M181"/>
    <mergeCell ref="M182:M191"/>
    <mergeCell ref="M128:M146"/>
    <mergeCell ref="D325:D329"/>
    <mergeCell ref="G325:G329"/>
    <mergeCell ref="H325:H329"/>
    <mergeCell ref="I325:I329"/>
    <mergeCell ref="J325:J329"/>
    <mergeCell ref="A338:F338"/>
    <mergeCell ref="D330:D333"/>
    <mergeCell ref="D334:D337"/>
    <mergeCell ref="G330:G333"/>
    <mergeCell ref="H330:H333"/>
    <mergeCell ref="I330:I333"/>
    <mergeCell ref="J330:J333"/>
    <mergeCell ref="G334:G337"/>
    <mergeCell ref="H334:H337"/>
    <mergeCell ref="I334:I337"/>
    <mergeCell ref="J334:J337"/>
    <mergeCell ref="D321:D324"/>
    <mergeCell ref="G317:G320"/>
    <mergeCell ref="H317:H320"/>
    <mergeCell ref="I317:I320"/>
    <mergeCell ref="J317:J320"/>
    <mergeCell ref="G321:G324"/>
    <mergeCell ref="H321:H324"/>
    <mergeCell ref="I321:I324"/>
    <mergeCell ref="J321:J324"/>
    <mergeCell ref="D317:D320"/>
    <mergeCell ref="D276:D279"/>
    <mergeCell ref="D280:D283"/>
    <mergeCell ref="G276:G279"/>
    <mergeCell ref="H276:H279"/>
    <mergeCell ref="I276:I279"/>
    <mergeCell ref="J276:J279"/>
    <mergeCell ref="D313:D316"/>
    <mergeCell ref="G313:G316"/>
    <mergeCell ref="H313:H316"/>
    <mergeCell ref="I313:I316"/>
    <mergeCell ref="J313:J316"/>
    <mergeCell ref="H299:H306"/>
    <mergeCell ref="I299:I306"/>
    <mergeCell ref="J299:J306"/>
    <mergeCell ref="G299:G306"/>
    <mergeCell ref="D307:D312"/>
    <mergeCell ref="G307:G312"/>
    <mergeCell ref="H307:H312"/>
    <mergeCell ref="I307:I312"/>
    <mergeCell ref="J307:J312"/>
    <mergeCell ref="J260:J265"/>
    <mergeCell ref="D266:D269"/>
    <mergeCell ref="G266:G269"/>
    <mergeCell ref="H266:H269"/>
    <mergeCell ref="I266:I269"/>
    <mergeCell ref="J266:J269"/>
    <mergeCell ref="A234:J234"/>
    <mergeCell ref="D288:D298"/>
    <mergeCell ref="G288:G298"/>
    <mergeCell ref="H288:H298"/>
    <mergeCell ref="I288:I298"/>
    <mergeCell ref="J288:J298"/>
    <mergeCell ref="G280:G283"/>
    <mergeCell ref="H280:H283"/>
    <mergeCell ref="I280:I283"/>
    <mergeCell ref="J280:J283"/>
    <mergeCell ref="G284:G287"/>
    <mergeCell ref="H284:H287"/>
    <mergeCell ref="I284:I287"/>
    <mergeCell ref="J284:J287"/>
    <mergeCell ref="G270:G275"/>
    <mergeCell ref="H270:H275"/>
    <mergeCell ref="I270:I275"/>
    <mergeCell ref="J270:J275"/>
    <mergeCell ref="H253:H259"/>
    <mergeCell ref="I253:I259"/>
    <mergeCell ref="J253:J259"/>
    <mergeCell ref="A325:A329"/>
    <mergeCell ref="A330:A333"/>
    <mergeCell ref="A334:A337"/>
    <mergeCell ref="D236:D252"/>
    <mergeCell ref="D260:D265"/>
    <mergeCell ref="D270:D275"/>
    <mergeCell ref="D284:D287"/>
    <mergeCell ref="D299:D306"/>
    <mergeCell ref="A288:A298"/>
    <mergeCell ref="A299:A306"/>
    <mergeCell ref="A307:A312"/>
    <mergeCell ref="A313:A316"/>
    <mergeCell ref="A317:A320"/>
    <mergeCell ref="A321:A324"/>
    <mergeCell ref="A260:A265"/>
    <mergeCell ref="A266:A269"/>
    <mergeCell ref="A270:A275"/>
    <mergeCell ref="A276:A279"/>
    <mergeCell ref="G260:G265"/>
    <mergeCell ref="H260:H265"/>
    <mergeCell ref="I260:I265"/>
    <mergeCell ref="A280:A283"/>
    <mergeCell ref="A284:A287"/>
    <mergeCell ref="K227:K230"/>
    <mergeCell ref="L227:L230"/>
    <mergeCell ref="F232:G232"/>
    <mergeCell ref="A236:A252"/>
    <mergeCell ref="A253:A259"/>
    <mergeCell ref="H236:H252"/>
    <mergeCell ref="I236:I252"/>
    <mergeCell ref="E235:F235"/>
    <mergeCell ref="G236:G252"/>
    <mergeCell ref="A227:A230"/>
    <mergeCell ref="C227:C230"/>
    <mergeCell ref="D227:D230"/>
    <mergeCell ref="H227:H230"/>
    <mergeCell ref="I227:I230"/>
    <mergeCell ref="J227:J230"/>
    <mergeCell ref="L244:L249"/>
    <mergeCell ref="L250:L337"/>
    <mergeCell ref="K251:K337"/>
    <mergeCell ref="A231:G231"/>
    <mergeCell ref="J236:J252"/>
    <mergeCell ref="D253:D259"/>
    <mergeCell ref="G253:G259"/>
    <mergeCell ref="K218:K222"/>
    <mergeCell ref="L218:L222"/>
    <mergeCell ref="A223:A226"/>
    <mergeCell ref="C223:C226"/>
    <mergeCell ref="D223:D226"/>
    <mergeCell ref="H223:H226"/>
    <mergeCell ref="I223:I226"/>
    <mergeCell ref="J223:J226"/>
    <mergeCell ref="K223:K226"/>
    <mergeCell ref="L223:L226"/>
    <mergeCell ref="A218:A222"/>
    <mergeCell ref="C218:C222"/>
    <mergeCell ref="D218:D222"/>
    <mergeCell ref="H218:H222"/>
    <mergeCell ref="I218:I222"/>
    <mergeCell ref="J218:J222"/>
    <mergeCell ref="K210:K213"/>
    <mergeCell ref="L210:L213"/>
    <mergeCell ref="A214:A217"/>
    <mergeCell ref="C214:C217"/>
    <mergeCell ref="D214:D217"/>
    <mergeCell ref="H214:H217"/>
    <mergeCell ref="I214:I217"/>
    <mergeCell ref="J214:J217"/>
    <mergeCell ref="K214:K217"/>
    <mergeCell ref="L214:L217"/>
    <mergeCell ref="A210:A213"/>
    <mergeCell ref="C210:C213"/>
    <mergeCell ref="D210:D213"/>
    <mergeCell ref="H210:H213"/>
    <mergeCell ref="I210:I213"/>
    <mergeCell ref="J210:J213"/>
    <mergeCell ref="K200:K205"/>
    <mergeCell ref="L200:L205"/>
    <mergeCell ref="A206:A209"/>
    <mergeCell ref="C206:C209"/>
    <mergeCell ref="D206:D209"/>
    <mergeCell ref="H206:H209"/>
    <mergeCell ref="I206:I209"/>
    <mergeCell ref="J206:J209"/>
    <mergeCell ref="K206:K209"/>
    <mergeCell ref="L206:L209"/>
    <mergeCell ref="A200:A205"/>
    <mergeCell ref="C200:C205"/>
    <mergeCell ref="D200:D205"/>
    <mergeCell ref="H200:H205"/>
    <mergeCell ref="I200:I205"/>
    <mergeCell ref="J200:J205"/>
    <mergeCell ref="K182:K191"/>
    <mergeCell ref="L182:L191"/>
    <mergeCell ref="A192:A199"/>
    <mergeCell ref="C192:C199"/>
    <mergeCell ref="D192:D199"/>
    <mergeCell ref="H192:H199"/>
    <mergeCell ref="I192:I199"/>
    <mergeCell ref="J192:J199"/>
    <mergeCell ref="K192:K199"/>
    <mergeCell ref="L192:L199"/>
    <mergeCell ref="A182:A191"/>
    <mergeCell ref="C182:C191"/>
    <mergeCell ref="D182:D191"/>
    <mergeCell ref="H182:H191"/>
    <mergeCell ref="I182:I191"/>
    <mergeCell ref="J182:J191"/>
    <mergeCell ref="K174:K177"/>
    <mergeCell ref="L174:L177"/>
    <mergeCell ref="A178:A181"/>
    <mergeCell ref="C178:C181"/>
    <mergeCell ref="D178:D181"/>
    <mergeCell ref="H178:H181"/>
    <mergeCell ref="I178:I181"/>
    <mergeCell ref="J178:J181"/>
    <mergeCell ref="K178:K181"/>
    <mergeCell ref="L178:L181"/>
    <mergeCell ref="A174:A177"/>
    <mergeCell ref="C174:C177"/>
    <mergeCell ref="D174:D177"/>
    <mergeCell ref="H174:H177"/>
    <mergeCell ref="I174:I177"/>
    <mergeCell ref="J174:J177"/>
    <mergeCell ref="K164:K169"/>
    <mergeCell ref="L164:L169"/>
    <mergeCell ref="A170:A173"/>
    <mergeCell ref="C170:C173"/>
    <mergeCell ref="D170:D173"/>
    <mergeCell ref="H170:H173"/>
    <mergeCell ref="I170:I173"/>
    <mergeCell ref="J170:J173"/>
    <mergeCell ref="K170:K173"/>
    <mergeCell ref="L170:L173"/>
    <mergeCell ref="A164:A169"/>
    <mergeCell ref="C164:C169"/>
    <mergeCell ref="D164:D169"/>
    <mergeCell ref="H164:H169"/>
    <mergeCell ref="I164:I169"/>
    <mergeCell ref="J164:J169"/>
    <mergeCell ref="A154:A159"/>
    <mergeCell ref="C154:C159"/>
    <mergeCell ref="D154:D159"/>
    <mergeCell ref="H154:H159"/>
    <mergeCell ref="I154:I159"/>
    <mergeCell ref="J154:J159"/>
    <mergeCell ref="K154:K159"/>
    <mergeCell ref="L154:L159"/>
    <mergeCell ref="A160:A163"/>
    <mergeCell ref="C160:C163"/>
    <mergeCell ref="D160:D163"/>
    <mergeCell ref="H160:H163"/>
    <mergeCell ref="I160:I163"/>
    <mergeCell ref="J160:J163"/>
    <mergeCell ref="K160:K163"/>
    <mergeCell ref="L160:L163"/>
    <mergeCell ref="A147:A153"/>
    <mergeCell ref="C147:C153"/>
    <mergeCell ref="D147:D153"/>
    <mergeCell ref="H147:H153"/>
    <mergeCell ref="I147:I153"/>
    <mergeCell ref="J147:J153"/>
    <mergeCell ref="K147:K153"/>
    <mergeCell ref="L147:L153"/>
    <mergeCell ref="C128:C144"/>
    <mergeCell ref="D128:D144"/>
    <mergeCell ref="A128:A146"/>
    <mergeCell ref="H128:H146"/>
    <mergeCell ref="C145:C146"/>
    <mergeCell ref="I128:I146"/>
    <mergeCell ref="J128:J146"/>
    <mergeCell ref="K128:K146"/>
    <mergeCell ref="L128:L146"/>
    <mergeCell ref="D145:D146"/>
    <mergeCell ref="A1:K1"/>
    <mergeCell ref="A2:K2"/>
    <mergeCell ref="A3:K3"/>
    <mergeCell ref="A4:K4"/>
    <mergeCell ref="I8:I15"/>
    <mergeCell ref="A18:D18"/>
    <mergeCell ref="A16:E16"/>
    <mergeCell ref="K20:K53"/>
    <mergeCell ref="J20:J53"/>
    <mergeCell ref="A126:D126"/>
    <mergeCell ref="F127:G127"/>
    <mergeCell ref="A56:F56"/>
    <mergeCell ref="K89:M89"/>
    <mergeCell ref="A6:K6"/>
    <mergeCell ref="A60:D60"/>
    <mergeCell ref="G62:G86"/>
    <mergeCell ref="H62:H86"/>
    <mergeCell ref="A89:D89"/>
    <mergeCell ref="G91:G123"/>
    <mergeCell ref="H91:H123"/>
  </mergeCells>
  <pageMargins left="0.59055118110236227" right="0" top="0.59055118110236227" bottom="0" header="0" footer="0"/>
  <pageSetup paperSize="9" scale="50" orientation="landscape" r:id="rId1"/>
  <rowBreaks count="4" manualBreakCount="4">
    <brk id="58" max="13" man="1"/>
    <brk id="124" max="13" man="1"/>
    <brk id="199" max="13" man="1"/>
    <brk id="259"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2"/>
  <sheetViews>
    <sheetView showGridLines="0" view="pageBreakPreview" topLeftCell="A166" zoomScaleNormal="100" zoomScaleSheetLayoutView="100" workbookViewId="0">
      <selection activeCell="A159" sqref="A159:XFD159"/>
    </sheetView>
  </sheetViews>
  <sheetFormatPr defaultColWidth="14.44140625" defaultRowHeight="15" customHeight="1" x14ac:dyDescent="0.25"/>
  <cols>
    <col min="1" max="1" width="7.33203125" style="9" customWidth="1"/>
    <col min="2" max="2" width="12" style="9" customWidth="1"/>
    <col min="3" max="3" width="74.5546875" style="9" customWidth="1"/>
    <col min="4" max="4" width="9.109375" style="9" customWidth="1"/>
    <col min="5" max="6" width="12.33203125" style="9" customWidth="1"/>
    <col min="7" max="7" width="45.109375" style="9" customWidth="1"/>
    <col min="8" max="8" width="9.5546875" style="9" customWidth="1"/>
    <col min="9" max="24" width="8" style="9" customWidth="1"/>
    <col min="25" max="16384" width="14.44140625" style="9"/>
  </cols>
  <sheetData>
    <row r="1" spans="1:8" s="21" customFormat="1" ht="19.95" customHeight="1" x14ac:dyDescent="0.25">
      <c r="A1" s="522" t="s">
        <v>257</v>
      </c>
      <c r="B1" s="523"/>
      <c r="C1" s="523"/>
      <c r="D1" s="523"/>
      <c r="E1" s="523"/>
      <c r="F1" s="523"/>
      <c r="G1" s="524"/>
    </row>
    <row r="2" spans="1:8" s="21" customFormat="1" ht="19.95" customHeight="1" x14ac:dyDescent="0.25">
      <c r="A2" s="525" t="str">
        <f>'Planilha Orcamentaria'!A6:E6</f>
        <v>PROPONENTE: PREFEITURA MUNICIPAL DE CARVALHOS</v>
      </c>
      <c r="B2" s="526"/>
      <c r="C2" s="526"/>
      <c r="D2" s="526"/>
      <c r="E2" s="526"/>
      <c r="F2" s="526"/>
      <c r="G2" s="527"/>
    </row>
    <row r="3" spans="1:8" s="21" customFormat="1" ht="19.95" customHeight="1" x14ac:dyDescent="0.25">
      <c r="A3" s="525" t="str">
        <f>'Planilha Orcamentaria'!A7:E7</f>
        <v>OBJETO: CONSTRUÇÃO DO CENTRO DE FISIOTERAPIA MUNICIPAL</v>
      </c>
      <c r="B3" s="526"/>
      <c r="C3" s="526"/>
      <c r="D3" s="526"/>
      <c r="E3" s="526"/>
      <c r="F3" s="526"/>
      <c r="G3" s="527"/>
    </row>
    <row r="4" spans="1:8" s="21" customFormat="1" ht="19.95" customHeight="1" thickBot="1" x14ac:dyDescent="0.3">
      <c r="A4" s="525" t="str">
        <f>'Planilha Orcamentaria'!A8:E8</f>
        <v>LOCAL: PRAÇA IBRAHIM PEREIRA DA CUNHA, S/N° - CENTRO- CARVALHOS - MG</v>
      </c>
      <c r="B4" s="526"/>
      <c r="C4" s="526"/>
      <c r="D4" s="526"/>
      <c r="E4" s="526"/>
      <c r="F4" s="526"/>
      <c r="G4" s="527"/>
    </row>
    <row r="5" spans="1:8" s="21" customFormat="1" ht="28.2" customHeight="1" thickBot="1" x14ac:dyDescent="0.3">
      <c r="A5" s="75" t="s">
        <v>5</v>
      </c>
      <c r="B5" s="71" t="s">
        <v>6</v>
      </c>
      <c r="C5" s="71" t="s">
        <v>7</v>
      </c>
      <c r="D5" s="71" t="s">
        <v>258</v>
      </c>
      <c r="E5" s="71" t="s">
        <v>259</v>
      </c>
      <c r="F5" s="528" t="s">
        <v>260</v>
      </c>
      <c r="G5" s="529"/>
    </row>
    <row r="6" spans="1:8" s="21" customFormat="1" ht="19.95" customHeight="1" x14ac:dyDescent="0.25">
      <c r="A6" s="72">
        <v>1</v>
      </c>
      <c r="B6" s="73" t="s">
        <v>13</v>
      </c>
      <c r="C6" s="515" t="s">
        <v>14</v>
      </c>
      <c r="D6" s="516"/>
      <c r="E6" s="74"/>
      <c r="F6" s="517"/>
      <c r="G6" s="518"/>
    </row>
    <row r="7" spans="1:8" ht="51" customHeight="1" x14ac:dyDescent="0.25">
      <c r="A7" s="6" t="s">
        <v>15</v>
      </c>
      <c r="B7" s="199" t="s">
        <v>690</v>
      </c>
      <c r="C7" s="20" t="s">
        <v>255</v>
      </c>
      <c r="D7" s="17" t="s">
        <v>258</v>
      </c>
      <c r="E7" s="78">
        <v>1</v>
      </c>
      <c r="F7" s="514" t="s">
        <v>286</v>
      </c>
      <c r="G7" s="514"/>
      <c r="H7" s="3"/>
    </row>
    <row r="8" spans="1:8" ht="43.8" customHeight="1" x14ac:dyDescent="0.25">
      <c r="A8" s="6" t="s">
        <v>22</v>
      </c>
      <c r="B8" s="199" t="s">
        <v>691</v>
      </c>
      <c r="C8" s="20" t="s">
        <v>256</v>
      </c>
      <c r="D8" s="17" t="s">
        <v>258</v>
      </c>
      <c r="E8" s="78">
        <v>1</v>
      </c>
      <c r="F8" s="514" t="s">
        <v>286</v>
      </c>
      <c r="G8" s="514"/>
      <c r="H8" s="3"/>
    </row>
    <row r="9" spans="1:8" ht="25.2" customHeight="1" x14ac:dyDescent="0.25">
      <c r="A9" s="6" t="s">
        <v>33</v>
      </c>
      <c r="B9" s="199" t="s">
        <v>692</v>
      </c>
      <c r="C9" s="20" t="s">
        <v>34</v>
      </c>
      <c r="D9" s="17" t="s">
        <v>18</v>
      </c>
      <c r="E9" s="78">
        <v>193.3</v>
      </c>
      <c r="F9" s="514" t="s">
        <v>288</v>
      </c>
      <c r="G9" s="514"/>
      <c r="H9" s="3"/>
    </row>
    <row r="10" spans="1:8" ht="43.8" customHeight="1" x14ac:dyDescent="0.25">
      <c r="A10" s="6" t="s">
        <v>36</v>
      </c>
      <c r="B10" s="199" t="s">
        <v>693</v>
      </c>
      <c r="C10" s="76" t="s">
        <v>281</v>
      </c>
      <c r="D10" s="17" t="s">
        <v>258</v>
      </c>
      <c r="E10" s="78">
        <v>1</v>
      </c>
      <c r="F10" s="514" t="s">
        <v>286</v>
      </c>
      <c r="G10" s="514"/>
      <c r="H10" s="3"/>
    </row>
    <row r="11" spans="1:8" ht="27.6" customHeight="1" x14ac:dyDescent="0.25">
      <c r="A11" s="6" t="s">
        <v>37</v>
      </c>
      <c r="B11" s="199" t="s">
        <v>694</v>
      </c>
      <c r="C11" s="20" t="s">
        <v>35</v>
      </c>
      <c r="D11" s="17" t="s">
        <v>258</v>
      </c>
      <c r="E11" s="78">
        <v>1</v>
      </c>
      <c r="F11" s="514" t="s">
        <v>286</v>
      </c>
      <c r="G11" s="514"/>
      <c r="H11" s="3"/>
    </row>
    <row r="12" spans="1:8" ht="25.2" customHeight="1" x14ac:dyDescent="0.25">
      <c r="A12" s="6" t="s">
        <v>38</v>
      </c>
      <c r="B12" s="204" t="s">
        <v>39</v>
      </c>
      <c r="C12" s="20" t="s">
        <v>40</v>
      </c>
      <c r="D12" s="17" t="s">
        <v>41</v>
      </c>
      <c r="E12" s="78">
        <v>3.5</v>
      </c>
      <c r="F12" s="514" t="s">
        <v>359</v>
      </c>
      <c r="G12" s="514"/>
      <c r="H12" s="3"/>
    </row>
    <row r="13" spans="1:8" ht="34.799999999999997" customHeight="1" x14ac:dyDescent="0.25">
      <c r="A13" s="6" t="s">
        <v>42</v>
      </c>
      <c r="B13" s="199" t="s">
        <v>795</v>
      </c>
      <c r="C13" s="20" t="s">
        <v>43</v>
      </c>
      <c r="D13" s="17" t="s">
        <v>41</v>
      </c>
      <c r="E13" s="78">
        <v>0.5</v>
      </c>
      <c r="F13" s="514" t="str">
        <f>F12</f>
        <v xml:space="preserve">DADOS RETIRADOS EM DOCUMENTO ANEXO </v>
      </c>
      <c r="G13" s="514"/>
      <c r="H13" s="3"/>
    </row>
    <row r="14" spans="1:8" s="21" customFormat="1" ht="19.95" customHeight="1" x14ac:dyDescent="0.25">
      <c r="A14" s="72">
        <v>2</v>
      </c>
      <c r="B14" s="73" t="s">
        <v>44</v>
      </c>
      <c r="C14" s="515" t="s">
        <v>206</v>
      </c>
      <c r="D14" s="516"/>
      <c r="E14" s="74"/>
      <c r="F14" s="517"/>
      <c r="G14" s="518"/>
    </row>
    <row r="15" spans="1:8" ht="27.6" customHeight="1" x14ac:dyDescent="0.25">
      <c r="A15" s="6" t="s">
        <v>23</v>
      </c>
      <c r="B15" s="199" t="s">
        <v>695</v>
      </c>
      <c r="C15" s="20" t="s">
        <v>205</v>
      </c>
      <c r="D15" s="17" t="s">
        <v>24</v>
      </c>
      <c r="E15" s="78">
        <f>'ANEXO A MC'!F16+'ANEXO A MC'!F54</f>
        <v>15.363650000000003</v>
      </c>
      <c r="F15" s="514" t="s">
        <v>422</v>
      </c>
      <c r="G15" s="514"/>
      <c r="H15" s="3"/>
    </row>
    <row r="16" spans="1:8" ht="27.6" customHeight="1" x14ac:dyDescent="0.25">
      <c r="A16" s="6" t="s">
        <v>16</v>
      </c>
      <c r="B16" s="199" t="s">
        <v>696</v>
      </c>
      <c r="C16" s="20" t="s">
        <v>45</v>
      </c>
      <c r="D16" s="17" t="s">
        <v>24</v>
      </c>
      <c r="E16" s="78">
        <f>E124*0.25*1.25</f>
        <v>71.734375</v>
      </c>
      <c r="F16" s="514" t="s">
        <v>382</v>
      </c>
      <c r="G16" s="514"/>
      <c r="H16" s="3"/>
    </row>
    <row r="17" spans="1:14" ht="40.200000000000003" customHeight="1" x14ac:dyDescent="0.25">
      <c r="A17" s="6" t="s">
        <v>25</v>
      </c>
      <c r="B17" s="199" t="s">
        <v>697</v>
      </c>
      <c r="C17" s="20" t="s">
        <v>46</v>
      </c>
      <c r="D17" s="17" t="s">
        <v>18</v>
      </c>
      <c r="E17" s="78">
        <f>(0.7*0.7*15)+(0.8*0.8*10)+(0.9*0.9*7)+(1*1*1)+'ANEXO A MC'!G54</f>
        <v>46.887500000000003</v>
      </c>
      <c r="F17" s="514" t="s">
        <v>420</v>
      </c>
      <c r="G17" s="514"/>
      <c r="H17" s="3"/>
    </row>
    <row r="18" spans="1:14" s="21" customFormat="1" ht="19.95" customHeight="1" x14ac:dyDescent="0.25">
      <c r="A18" s="72">
        <v>3</v>
      </c>
      <c r="B18" s="73" t="s">
        <v>432</v>
      </c>
      <c r="C18" s="515" t="s">
        <v>430</v>
      </c>
      <c r="D18" s="516"/>
      <c r="E18" s="74"/>
      <c r="F18" s="517"/>
      <c r="G18" s="518"/>
    </row>
    <row r="19" spans="1:14" ht="34.799999999999997" customHeight="1" x14ac:dyDescent="0.25">
      <c r="A19" s="6" t="s">
        <v>17</v>
      </c>
      <c r="B19" s="199" t="s">
        <v>698</v>
      </c>
      <c r="C19" s="20" t="s">
        <v>211</v>
      </c>
      <c r="D19" s="17" t="s">
        <v>18</v>
      </c>
      <c r="E19" s="78">
        <f>'ANEXO A MC'!K16+'ANEXO A MC'!L54</f>
        <v>124.61000000000001</v>
      </c>
      <c r="F19" s="514" t="s">
        <v>427</v>
      </c>
      <c r="G19" s="514"/>
      <c r="H19" s="3"/>
    </row>
    <row r="20" spans="1:14" ht="27.6" customHeight="1" x14ac:dyDescent="0.25">
      <c r="A20" s="6" t="s">
        <v>47</v>
      </c>
      <c r="B20" s="199" t="s">
        <v>699</v>
      </c>
      <c r="C20" s="20" t="s">
        <v>209</v>
      </c>
      <c r="D20" s="17" t="s">
        <v>24</v>
      </c>
      <c r="E20" s="78">
        <f>'ANEXO A MC'!H54+'ANEXO A MC'!G16</f>
        <v>3.3653750000000002</v>
      </c>
      <c r="F20" s="514" t="s">
        <v>421</v>
      </c>
      <c r="G20" s="514"/>
      <c r="H20" s="3"/>
    </row>
    <row r="21" spans="1:14" ht="27.6" customHeight="1" x14ac:dyDescent="0.25">
      <c r="A21" s="6" t="s">
        <v>50</v>
      </c>
      <c r="B21" s="199" t="s">
        <v>700</v>
      </c>
      <c r="C21" s="20" t="s">
        <v>48</v>
      </c>
      <c r="D21" s="17" t="s">
        <v>49</v>
      </c>
      <c r="E21" s="78">
        <f>'ANEXO A MC'!I16+'ANEXO A MC'!J16+'ANEXO A MC'!J54+'ANEXO A MC'!K54</f>
        <v>830.71979800000008</v>
      </c>
      <c r="F21" s="514" t="s">
        <v>427</v>
      </c>
      <c r="G21" s="514"/>
      <c r="H21" s="3"/>
    </row>
    <row r="22" spans="1:14" ht="38.4" customHeight="1" x14ac:dyDescent="0.25">
      <c r="A22" s="6" t="s">
        <v>492</v>
      </c>
      <c r="B22" s="199" t="s">
        <v>701</v>
      </c>
      <c r="C22" s="20" t="s">
        <v>210</v>
      </c>
      <c r="D22" s="17" t="s">
        <v>24</v>
      </c>
      <c r="E22" s="78">
        <f>'ANEXO A MC'!I54+'ANEXO A MC'!H16</f>
        <v>13.019275</v>
      </c>
      <c r="F22" s="514" t="s">
        <v>427</v>
      </c>
      <c r="G22" s="514"/>
      <c r="H22" s="3"/>
    </row>
    <row r="23" spans="1:14" s="21" customFormat="1" ht="19.95" customHeight="1" x14ac:dyDescent="0.25">
      <c r="A23" s="72">
        <v>4</v>
      </c>
      <c r="B23" s="73" t="s">
        <v>433</v>
      </c>
      <c r="C23" s="515" t="s">
        <v>431</v>
      </c>
      <c r="D23" s="516"/>
      <c r="E23" s="74"/>
      <c r="F23" s="517"/>
      <c r="G23" s="518"/>
    </row>
    <row r="24" spans="1:14" ht="34.799999999999997" customHeight="1" x14ac:dyDescent="0.25">
      <c r="A24" s="6" t="s">
        <v>19</v>
      </c>
      <c r="B24" s="199" t="s">
        <v>698</v>
      </c>
      <c r="C24" s="20" t="s">
        <v>211</v>
      </c>
      <c r="D24" s="17" t="s">
        <v>18</v>
      </c>
      <c r="E24" s="78">
        <f>'ANEXO A MC'!I87+'ANEXO A MC'!I124+E27</f>
        <v>359.47800000000007</v>
      </c>
      <c r="F24" s="514" t="s">
        <v>495</v>
      </c>
      <c r="G24" s="514"/>
      <c r="H24" s="3"/>
    </row>
    <row r="25" spans="1:14" ht="27.6" customHeight="1" x14ac:dyDescent="0.25">
      <c r="A25" s="6" t="s">
        <v>20</v>
      </c>
      <c r="B25" s="199" t="s">
        <v>700</v>
      </c>
      <c r="C25" s="20" t="s">
        <v>48</v>
      </c>
      <c r="D25" s="17" t="s">
        <v>49</v>
      </c>
      <c r="E25" s="78">
        <f>'ANEXO A MC'!G87+'ANEXO A MC'!H87+'ANEXO A MC'!G124+'ANEXO A MC'!H124</f>
        <v>1857</v>
      </c>
      <c r="F25" s="514" t="s">
        <v>427</v>
      </c>
      <c r="G25" s="514"/>
      <c r="H25" s="194"/>
      <c r="I25" s="195"/>
      <c r="J25" s="195"/>
      <c r="K25" s="195"/>
      <c r="L25" s="195"/>
      <c r="M25" s="195"/>
      <c r="N25" s="195"/>
    </row>
    <row r="26" spans="1:14" ht="34.799999999999997" customHeight="1" x14ac:dyDescent="0.25">
      <c r="A26" s="6" t="s">
        <v>51</v>
      </c>
      <c r="B26" s="199" t="s">
        <v>702</v>
      </c>
      <c r="C26" s="20" t="s">
        <v>212</v>
      </c>
      <c r="D26" s="17" t="s">
        <v>24</v>
      </c>
      <c r="E26" s="78">
        <f>'ANEXO A MC'!F87+'ANEXO A MC'!F124</f>
        <v>9.7320499999999974</v>
      </c>
      <c r="F26" s="514" t="s">
        <v>427</v>
      </c>
      <c r="G26" s="514"/>
      <c r="H26" s="194"/>
      <c r="I26" s="521"/>
      <c r="J26" s="521"/>
      <c r="K26" s="195"/>
      <c r="L26" s="195"/>
      <c r="M26" s="195"/>
      <c r="N26" s="195"/>
    </row>
    <row r="27" spans="1:14" ht="34.799999999999997" customHeight="1" x14ac:dyDescent="0.25">
      <c r="A27" s="6" t="s">
        <v>52</v>
      </c>
      <c r="B27" s="199" t="s">
        <v>703</v>
      </c>
      <c r="C27" s="20" t="s">
        <v>213</v>
      </c>
      <c r="D27" s="17" t="s">
        <v>18</v>
      </c>
      <c r="E27" s="78">
        <v>162.11000000000001</v>
      </c>
      <c r="F27" s="514" t="s">
        <v>427</v>
      </c>
      <c r="G27" s="514"/>
      <c r="H27" s="194"/>
      <c r="I27" s="195"/>
      <c r="J27" s="195"/>
      <c r="K27" s="195"/>
      <c r="L27" s="195"/>
      <c r="M27" s="195"/>
      <c r="N27" s="195"/>
    </row>
    <row r="28" spans="1:14" s="21" customFormat="1" ht="19.95" customHeight="1" x14ac:dyDescent="0.25">
      <c r="A28" s="72">
        <v>5</v>
      </c>
      <c r="B28" s="73" t="s">
        <v>53</v>
      </c>
      <c r="C28" s="515" t="s">
        <v>54</v>
      </c>
      <c r="D28" s="516"/>
      <c r="E28" s="74"/>
      <c r="F28" s="517"/>
      <c r="G28" s="518"/>
      <c r="H28" s="196"/>
      <c r="I28" s="196"/>
      <c r="J28" s="196"/>
      <c r="K28" s="196"/>
      <c r="L28" s="196"/>
      <c r="M28" s="196"/>
      <c r="N28" s="196"/>
    </row>
    <row r="29" spans="1:14" ht="34.799999999999997" customHeight="1" x14ac:dyDescent="0.25">
      <c r="A29" s="11" t="s">
        <v>55</v>
      </c>
      <c r="B29" s="199" t="s">
        <v>704</v>
      </c>
      <c r="C29" s="20" t="s">
        <v>365</v>
      </c>
      <c r="D29" s="17" t="s">
        <v>18</v>
      </c>
      <c r="E29" s="79">
        <f>'ANEXO A MC'!N231</f>
        <v>25.4</v>
      </c>
      <c r="F29" s="514" t="s">
        <v>501</v>
      </c>
      <c r="G29" s="514"/>
      <c r="H29" s="197"/>
      <c r="I29" s="521"/>
      <c r="J29" s="521"/>
      <c r="K29" s="195"/>
      <c r="L29" s="195"/>
      <c r="M29" s="195"/>
      <c r="N29" s="195"/>
    </row>
    <row r="30" spans="1:14" ht="34.799999999999997" customHeight="1" x14ac:dyDescent="0.25">
      <c r="A30" s="11" t="s">
        <v>56</v>
      </c>
      <c r="B30" s="199" t="s">
        <v>705</v>
      </c>
      <c r="C30" s="20" t="s">
        <v>362</v>
      </c>
      <c r="D30" s="17" t="s">
        <v>18</v>
      </c>
      <c r="E30" s="79">
        <f>'ANEXO A MC'!M231</f>
        <v>500.8900000000001</v>
      </c>
      <c r="F30" s="514" t="str">
        <f>F29</f>
        <v>ANEXO A MC = CONFORME (PROJETO ARQUITETÔNICO)</v>
      </c>
      <c r="G30" s="514"/>
      <c r="H30" s="197"/>
      <c r="I30" s="521"/>
      <c r="J30" s="521"/>
      <c r="K30" s="195"/>
      <c r="L30" s="195"/>
      <c r="M30" s="195"/>
      <c r="N30" s="195"/>
    </row>
    <row r="31" spans="1:14" ht="55.05" customHeight="1" x14ac:dyDescent="0.25">
      <c r="A31" s="6" t="s">
        <v>57</v>
      </c>
      <c r="B31" s="199" t="str">
        <f>'MEC 01 '!B23</f>
        <v>EST-001</v>
      </c>
      <c r="C31" s="20" t="s">
        <v>502</v>
      </c>
      <c r="D31" s="17" t="s">
        <v>24</v>
      </c>
      <c r="E31" s="78">
        <f>(2.3+1.8+1.8+1.8+1.8+1.8+1.8+1.8+2.3+2.3+2.3)*0.15*0.2*1</f>
        <v>0.65400000000000014</v>
      </c>
      <c r="F31" s="514" t="s">
        <v>506</v>
      </c>
      <c r="G31" s="514"/>
      <c r="H31" s="3"/>
    </row>
    <row r="32" spans="1:14" ht="55.05" customHeight="1" x14ac:dyDescent="0.25">
      <c r="A32" s="6" t="s">
        <v>58</v>
      </c>
      <c r="B32" s="199" t="str">
        <f>'MEC 01 '!B24</f>
        <v>ED-49643</v>
      </c>
      <c r="C32" s="20" t="s">
        <v>505</v>
      </c>
      <c r="D32" s="17" t="s">
        <v>24</v>
      </c>
      <c r="E32" s="78">
        <f>(2.3+1.8+1.8+1.8+1.8+1.8+1.8+1.8+2.3+2.3+2.3)*0.15*0.2*1</f>
        <v>0.65400000000000014</v>
      </c>
      <c r="F32" s="514" t="s">
        <v>507</v>
      </c>
      <c r="G32" s="514"/>
      <c r="H32" s="3"/>
    </row>
    <row r="33" spans="1:8" ht="45" customHeight="1" x14ac:dyDescent="0.25">
      <c r="A33" s="6" t="s">
        <v>361</v>
      </c>
      <c r="B33" s="199" t="str">
        <f>'MEC 01 '!B25</f>
        <v>ED-48298</v>
      </c>
      <c r="C33" s="20" t="s">
        <v>503</v>
      </c>
      <c r="D33" s="17" t="s">
        <v>24</v>
      </c>
      <c r="E33" s="78">
        <f>((1.2*7)+(1.1*4)+(1.1*9))*0.15*0.2</f>
        <v>0.68100000000000005</v>
      </c>
      <c r="F33" s="514" t="s">
        <v>508</v>
      </c>
      <c r="G33" s="514"/>
      <c r="H33" s="3"/>
    </row>
    <row r="34" spans="1:8" ht="34.799999999999997" customHeight="1" x14ac:dyDescent="0.25">
      <c r="A34" s="6" t="s">
        <v>504</v>
      </c>
      <c r="B34" s="199" t="s">
        <v>706</v>
      </c>
      <c r="C34" s="20" t="s">
        <v>59</v>
      </c>
      <c r="D34" s="17" t="s">
        <v>18</v>
      </c>
      <c r="E34" s="78">
        <f>(2*2.2*2)+((1.2*2)-(0.55*2))+((((1+1)*2)-(0.55*2))*2)</f>
        <v>15.900000000000002</v>
      </c>
      <c r="F34" s="514" t="s">
        <v>360</v>
      </c>
      <c r="G34" s="514"/>
      <c r="H34" s="3"/>
    </row>
    <row r="35" spans="1:8" s="21" customFormat="1" ht="19.95" customHeight="1" x14ac:dyDescent="0.25">
      <c r="A35" s="72">
        <v>6</v>
      </c>
      <c r="B35" s="73" t="s">
        <v>60</v>
      </c>
      <c r="C35" s="515" t="s">
        <v>61</v>
      </c>
      <c r="D35" s="516"/>
      <c r="E35" s="74"/>
      <c r="F35" s="517"/>
      <c r="G35" s="518"/>
    </row>
    <row r="36" spans="1:8" ht="27.6" customHeight="1" x14ac:dyDescent="0.25">
      <c r="A36" s="6" t="s">
        <v>62</v>
      </c>
      <c r="B36" s="199" t="s">
        <v>707</v>
      </c>
      <c r="C36" s="20" t="s">
        <v>63</v>
      </c>
      <c r="D36" s="17" t="s">
        <v>18</v>
      </c>
      <c r="E36" s="78">
        <f>56.15 + 15.02 + 90.36</f>
        <v>161.53</v>
      </c>
      <c r="F36" s="514" t="s">
        <v>509</v>
      </c>
      <c r="G36" s="514"/>
      <c r="H36" s="3"/>
    </row>
    <row r="37" spans="1:8" ht="27.6" customHeight="1" x14ac:dyDescent="0.25">
      <c r="A37" s="6" t="s">
        <v>64</v>
      </c>
      <c r="B37" s="199" t="s">
        <v>708</v>
      </c>
      <c r="C37" s="20" t="s">
        <v>65</v>
      </c>
      <c r="D37" s="17" t="s">
        <v>18</v>
      </c>
      <c r="E37" s="78">
        <f>E36</f>
        <v>161.53</v>
      </c>
      <c r="F37" s="514" t="s">
        <v>509</v>
      </c>
      <c r="G37" s="514"/>
      <c r="H37" s="3"/>
    </row>
    <row r="38" spans="1:8" ht="39" customHeight="1" x14ac:dyDescent="0.25">
      <c r="A38" s="6" t="s">
        <v>66</v>
      </c>
      <c r="B38" s="199" t="s">
        <v>709</v>
      </c>
      <c r="C38" s="20" t="s">
        <v>803</v>
      </c>
      <c r="D38" s="17" t="s">
        <v>26</v>
      </c>
      <c r="E38" s="78">
        <v>101.07</v>
      </c>
      <c r="F38" s="514" t="s">
        <v>802</v>
      </c>
      <c r="G38" s="514"/>
      <c r="H38" s="3"/>
    </row>
    <row r="39" spans="1:8" ht="34.799999999999997" customHeight="1" x14ac:dyDescent="0.25">
      <c r="A39" s="6" t="s">
        <v>67</v>
      </c>
      <c r="B39" s="199" t="s">
        <v>711</v>
      </c>
      <c r="C39" s="20" t="s">
        <v>214</v>
      </c>
      <c r="D39" s="17" t="s">
        <v>18</v>
      </c>
      <c r="E39" s="78">
        <f>((0.7+0.2+0.2)*(7.55+11.8))</f>
        <v>21.285</v>
      </c>
      <c r="F39" s="514" t="s">
        <v>511</v>
      </c>
      <c r="G39" s="514"/>
      <c r="H39" s="3"/>
    </row>
    <row r="40" spans="1:8" ht="34.799999999999997" customHeight="1" x14ac:dyDescent="0.25">
      <c r="A40" s="6" t="s">
        <v>69</v>
      </c>
      <c r="B40" s="199" t="s">
        <v>712</v>
      </c>
      <c r="C40" s="20" t="s">
        <v>68</v>
      </c>
      <c r="D40" s="17" t="s">
        <v>18</v>
      </c>
      <c r="E40" s="78">
        <f>((0.7+0.2+0.2)*(7.55+11.8))</f>
        <v>21.285</v>
      </c>
      <c r="F40" s="514" t="s">
        <v>511</v>
      </c>
      <c r="G40" s="514"/>
      <c r="H40" s="3"/>
    </row>
    <row r="41" spans="1:8" ht="34.799999999999997" customHeight="1" x14ac:dyDescent="0.25">
      <c r="A41" s="6" t="s">
        <v>70</v>
      </c>
      <c r="B41" s="199" t="s">
        <v>713</v>
      </c>
      <c r="C41" s="20" t="s">
        <v>215</v>
      </c>
      <c r="D41" s="17" t="s">
        <v>18</v>
      </c>
      <c r="E41" s="78">
        <f>((0.7+0.2+0.2)*(7.55+11.8))</f>
        <v>21.285</v>
      </c>
      <c r="F41" s="514" t="s">
        <v>511</v>
      </c>
      <c r="G41" s="514"/>
      <c r="H41" s="3"/>
    </row>
    <row r="42" spans="1:8" ht="53.4" customHeight="1" x14ac:dyDescent="0.25">
      <c r="A42" s="6" t="s">
        <v>71</v>
      </c>
      <c r="B42" s="199" t="s">
        <v>674</v>
      </c>
      <c r="C42" s="20" t="s">
        <v>675</v>
      </c>
      <c r="D42" s="17" t="s">
        <v>26</v>
      </c>
      <c r="E42" s="78">
        <f>17*2+12.1*2</f>
        <v>58.2</v>
      </c>
      <c r="F42" s="514" t="s">
        <v>676</v>
      </c>
      <c r="G42" s="514"/>
      <c r="H42" s="3"/>
    </row>
    <row r="43" spans="1:8" ht="34.799999999999997" customHeight="1" x14ac:dyDescent="0.25">
      <c r="A43" s="6" t="s">
        <v>673</v>
      </c>
      <c r="B43" s="199" t="s">
        <v>714</v>
      </c>
      <c r="C43" s="20" t="s">
        <v>216</v>
      </c>
      <c r="D43" s="17" t="s">
        <v>26</v>
      </c>
      <c r="E43" s="78">
        <v>9</v>
      </c>
      <c r="F43" s="514" t="s">
        <v>358</v>
      </c>
      <c r="G43" s="514"/>
      <c r="H43" s="3"/>
    </row>
    <row r="44" spans="1:8" ht="53.4" customHeight="1" x14ac:dyDescent="0.25">
      <c r="A44" s="6" t="s">
        <v>784</v>
      </c>
      <c r="B44" s="199" t="s">
        <v>715</v>
      </c>
      <c r="C44" s="20" t="s">
        <v>217</v>
      </c>
      <c r="D44" s="17" t="s">
        <v>258</v>
      </c>
      <c r="E44" s="78">
        <v>2</v>
      </c>
      <c r="F44" s="514" t="s">
        <v>349</v>
      </c>
      <c r="G44" s="514"/>
      <c r="H44" s="3"/>
    </row>
    <row r="45" spans="1:8" s="21" customFormat="1" ht="19.95" customHeight="1" x14ac:dyDescent="0.25">
      <c r="A45" s="72">
        <v>7</v>
      </c>
      <c r="B45" s="73" t="s">
        <v>72</v>
      </c>
      <c r="C45" s="515" t="s">
        <v>73</v>
      </c>
      <c r="D45" s="516"/>
      <c r="E45" s="74"/>
      <c r="F45" s="517"/>
      <c r="G45" s="518"/>
    </row>
    <row r="46" spans="1:8" ht="34.799999999999997" customHeight="1" x14ac:dyDescent="0.25">
      <c r="A46" s="6" t="s">
        <v>74</v>
      </c>
      <c r="B46" s="199" t="str">
        <f>'MEC 01 '!B39</f>
        <v>ED-50170</v>
      </c>
      <c r="C46" s="20" t="s">
        <v>222</v>
      </c>
      <c r="D46" s="17" t="s">
        <v>26</v>
      </c>
      <c r="E46" s="78">
        <v>80</v>
      </c>
      <c r="F46" s="514" t="s">
        <v>522</v>
      </c>
      <c r="G46" s="514"/>
      <c r="H46" s="3"/>
    </row>
    <row r="47" spans="1:8" ht="34.799999999999997" customHeight="1" x14ac:dyDescent="0.25">
      <c r="A47" s="6" t="s">
        <v>75</v>
      </c>
      <c r="B47" s="199" t="str">
        <f>'MEC 01 '!B40</f>
        <v>ED-50168</v>
      </c>
      <c r="C47" s="20" t="s">
        <v>218</v>
      </c>
      <c r="D47" s="17" t="s">
        <v>26</v>
      </c>
      <c r="E47" s="78">
        <v>50</v>
      </c>
      <c r="F47" s="514" t="s">
        <v>522</v>
      </c>
      <c r="G47" s="514"/>
      <c r="H47" s="3"/>
    </row>
    <row r="48" spans="1:8" ht="55.8" customHeight="1" x14ac:dyDescent="0.25">
      <c r="A48" s="6" t="s">
        <v>76</v>
      </c>
      <c r="B48" s="199" t="s">
        <v>512</v>
      </c>
      <c r="C48" s="20" t="s">
        <v>513</v>
      </c>
      <c r="D48" s="17" t="s">
        <v>258</v>
      </c>
      <c r="E48" s="78">
        <f>2+2+2+1+2+1+1+1+1+1+1+1+2+3+3</f>
        <v>24</v>
      </c>
      <c r="F48" s="514" t="s">
        <v>537</v>
      </c>
      <c r="G48" s="514"/>
      <c r="H48" s="3"/>
    </row>
    <row r="49" spans="1:8" ht="55.8" customHeight="1" x14ac:dyDescent="0.25">
      <c r="A49" s="6" t="s">
        <v>77</v>
      </c>
      <c r="B49" s="199" t="s">
        <v>514</v>
      </c>
      <c r="C49" s="20" t="s">
        <v>515</v>
      </c>
      <c r="D49" s="17" t="s">
        <v>258</v>
      </c>
      <c r="E49" s="78">
        <f>2+2+2+1+2+1+2+2+2+2+2+2+3+3</f>
        <v>28</v>
      </c>
      <c r="F49" s="514" t="s">
        <v>524</v>
      </c>
      <c r="G49" s="514"/>
      <c r="H49" s="3"/>
    </row>
    <row r="50" spans="1:8" ht="34.799999999999997" customHeight="1" x14ac:dyDescent="0.25">
      <c r="A50" s="6" t="s">
        <v>78</v>
      </c>
      <c r="B50" s="199" t="s">
        <v>516</v>
      </c>
      <c r="C50" s="20" t="s">
        <v>517</v>
      </c>
      <c r="D50" s="17" t="s">
        <v>258</v>
      </c>
      <c r="E50" s="78">
        <v>7</v>
      </c>
      <c r="F50" s="514" t="s">
        <v>518</v>
      </c>
      <c r="G50" s="514"/>
      <c r="H50" s="3"/>
    </row>
    <row r="51" spans="1:8" ht="34.799999999999997" customHeight="1" x14ac:dyDescent="0.25">
      <c r="A51" s="6" t="s">
        <v>79</v>
      </c>
      <c r="B51" s="199" t="s">
        <v>716</v>
      </c>
      <c r="C51" s="20" t="s">
        <v>519</v>
      </c>
      <c r="D51" s="17" t="s">
        <v>258</v>
      </c>
      <c r="E51" s="78">
        <v>7</v>
      </c>
      <c r="F51" s="514" t="s">
        <v>518</v>
      </c>
      <c r="G51" s="514"/>
      <c r="H51" s="3"/>
    </row>
    <row r="52" spans="1:8" ht="43.8" customHeight="1" x14ac:dyDescent="0.25">
      <c r="A52" s="6" t="s">
        <v>80</v>
      </c>
      <c r="B52" s="199" t="s">
        <v>717</v>
      </c>
      <c r="C52" s="20" t="s">
        <v>219</v>
      </c>
      <c r="D52" s="17" t="s">
        <v>258</v>
      </c>
      <c r="E52" s="78">
        <v>6</v>
      </c>
      <c r="F52" s="514" t="s">
        <v>520</v>
      </c>
      <c r="G52" s="514"/>
      <c r="H52" s="3"/>
    </row>
    <row r="53" spans="1:8" ht="43.8" customHeight="1" x14ac:dyDescent="0.25">
      <c r="A53" s="6" t="s">
        <v>81</v>
      </c>
      <c r="B53" s="199" t="s">
        <v>718</v>
      </c>
      <c r="C53" s="20" t="s">
        <v>220</v>
      </c>
      <c r="D53" s="17" t="s">
        <v>258</v>
      </c>
      <c r="E53" s="78">
        <v>2</v>
      </c>
      <c r="F53" s="514" t="s">
        <v>521</v>
      </c>
      <c r="G53" s="514"/>
      <c r="H53" s="3"/>
    </row>
    <row r="54" spans="1:8" ht="43.8" customHeight="1" x14ac:dyDescent="0.25">
      <c r="A54" s="6" t="s">
        <v>82</v>
      </c>
      <c r="B54" s="199" t="s">
        <v>719</v>
      </c>
      <c r="C54" s="20" t="s">
        <v>221</v>
      </c>
      <c r="D54" s="17" t="s">
        <v>258</v>
      </c>
      <c r="E54" s="78">
        <v>2</v>
      </c>
      <c r="F54" s="514" t="s">
        <v>348</v>
      </c>
      <c r="G54" s="514"/>
      <c r="H54" s="3"/>
    </row>
    <row r="55" spans="1:8" ht="27.6" customHeight="1" x14ac:dyDescent="0.25">
      <c r="A55" s="6" t="s">
        <v>83</v>
      </c>
      <c r="B55" s="199" t="s">
        <v>720</v>
      </c>
      <c r="C55" s="20" t="s">
        <v>350</v>
      </c>
      <c r="D55" s="17" t="s">
        <v>258</v>
      </c>
      <c r="E55" s="78">
        <v>2</v>
      </c>
      <c r="F55" s="514" t="s">
        <v>351</v>
      </c>
      <c r="G55" s="514"/>
      <c r="H55" s="3"/>
    </row>
    <row r="56" spans="1:8" ht="55.8" customHeight="1" x14ac:dyDescent="0.25">
      <c r="A56" s="6" t="s">
        <v>84</v>
      </c>
      <c r="B56" s="199" t="s">
        <v>721</v>
      </c>
      <c r="C56" s="20" t="s">
        <v>87</v>
      </c>
      <c r="D56" s="17" t="s">
        <v>88</v>
      </c>
      <c r="E56" s="78">
        <v>14</v>
      </c>
      <c r="F56" s="514" t="s">
        <v>523</v>
      </c>
      <c r="G56" s="514"/>
      <c r="H56" s="3"/>
    </row>
    <row r="57" spans="1:8" ht="27.6" customHeight="1" x14ac:dyDescent="0.25">
      <c r="A57" s="6" t="s">
        <v>85</v>
      </c>
      <c r="B57" s="199" t="s">
        <v>722</v>
      </c>
      <c r="C57" s="20" t="s">
        <v>90</v>
      </c>
      <c r="D57" s="17" t="s">
        <v>258</v>
      </c>
      <c r="E57" s="78">
        <v>2</v>
      </c>
      <c r="F57" s="514" t="s">
        <v>525</v>
      </c>
      <c r="G57" s="514"/>
      <c r="H57" s="3"/>
    </row>
    <row r="58" spans="1:8" ht="43.8" customHeight="1" x14ac:dyDescent="0.25">
      <c r="A58" s="6" t="s">
        <v>86</v>
      </c>
      <c r="B58" s="199" t="s">
        <v>723</v>
      </c>
      <c r="C58" s="20" t="s">
        <v>526</v>
      </c>
      <c r="D58" s="17" t="s">
        <v>258</v>
      </c>
      <c r="E58" s="78">
        <v>1</v>
      </c>
      <c r="F58" s="514" t="s">
        <v>352</v>
      </c>
      <c r="G58" s="514"/>
      <c r="H58" s="3"/>
    </row>
    <row r="59" spans="1:8" ht="57.6" customHeight="1" x14ac:dyDescent="0.25">
      <c r="A59" s="6" t="s">
        <v>89</v>
      </c>
      <c r="B59" s="199" t="s">
        <v>724</v>
      </c>
      <c r="C59" s="20" t="s">
        <v>223</v>
      </c>
      <c r="D59" s="17" t="s">
        <v>258</v>
      </c>
      <c r="E59" s="78">
        <v>9</v>
      </c>
      <c r="F59" s="514" t="s">
        <v>527</v>
      </c>
      <c r="G59" s="514"/>
      <c r="H59" s="3"/>
    </row>
    <row r="60" spans="1:8" ht="55.8" customHeight="1" x14ac:dyDescent="0.25">
      <c r="A60" s="6" t="s">
        <v>91</v>
      </c>
      <c r="B60" s="199" t="s">
        <v>725</v>
      </c>
      <c r="C60" s="20" t="s">
        <v>801</v>
      </c>
      <c r="D60" s="17" t="s">
        <v>258</v>
      </c>
      <c r="E60" s="78">
        <v>10</v>
      </c>
      <c r="F60" s="514" t="s">
        <v>528</v>
      </c>
      <c r="G60" s="514"/>
      <c r="H60" s="3"/>
    </row>
    <row r="61" spans="1:8" ht="48" customHeight="1" x14ac:dyDescent="0.25">
      <c r="A61" s="6" t="s">
        <v>92</v>
      </c>
      <c r="B61" s="199" t="s">
        <v>726</v>
      </c>
      <c r="C61" s="20" t="s">
        <v>224</v>
      </c>
      <c r="D61" s="17" t="s">
        <v>258</v>
      </c>
      <c r="E61" s="78">
        <v>7</v>
      </c>
      <c r="F61" s="514" t="s">
        <v>529</v>
      </c>
      <c r="G61" s="514"/>
      <c r="H61" s="3"/>
    </row>
    <row r="62" spans="1:8" ht="52.8" customHeight="1" x14ac:dyDescent="0.25">
      <c r="A62" s="6" t="s">
        <v>93</v>
      </c>
      <c r="B62" s="199" t="s">
        <v>727</v>
      </c>
      <c r="C62" s="20" t="s">
        <v>225</v>
      </c>
      <c r="D62" s="17" t="s">
        <v>258</v>
      </c>
      <c r="E62" s="78">
        <v>10</v>
      </c>
      <c r="F62" s="514" t="s">
        <v>528</v>
      </c>
      <c r="G62" s="514"/>
      <c r="H62" s="3"/>
    </row>
    <row r="63" spans="1:8" ht="27.6" customHeight="1" x14ac:dyDescent="0.25">
      <c r="A63" s="6" t="s">
        <v>94</v>
      </c>
      <c r="B63" s="199" t="s">
        <v>728</v>
      </c>
      <c r="C63" s="20" t="str">
        <f>'Planilha Orcamentaria'!C71</f>
        <v>CHUVEIRO-ELÉTRICO CROMADO 1/2"</v>
      </c>
      <c r="D63" s="17" t="s">
        <v>258</v>
      </c>
      <c r="E63" s="78">
        <v>2</v>
      </c>
      <c r="F63" s="514" t="s">
        <v>525</v>
      </c>
      <c r="G63" s="514"/>
      <c r="H63" s="3"/>
    </row>
    <row r="64" spans="1:8" ht="27.6" customHeight="1" x14ac:dyDescent="0.25">
      <c r="A64" s="6" t="s">
        <v>95</v>
      </c>
      <c r="B64" s="199" t="s">
        <v>729</v>
      </c>
      <c r="C64" s="20" t="s">
        <v>97</v>
      </c>
      <c r="D64" s="17" t="s">
        <v>18</v>
      </c>
      <c r="E64" s="78">
        <f>0.65*1.3</f>
        <v>0.84500000000000008</v>
      </c>
      <c r="F64" s="514" t="s">
        <v>530</v>
      </c>
      <c r="G64" s="514"/>
      <c r="H64" s="3"/>
    </row>
    <row r="65" spans="1:8" ht="52.8" customHeight="1" x14ac:dyDescent="0.25">
      <c r="A65" s="6" t="s">
        <v>96</v>
      </c>
      <c r="B65" s="199" t="s">
        <v>531</v>
      </c>
      <c r="C65" s="20" t="str">
        <f>'Planilha Orcamentaria'!C73</f>
        <v>RODABANCA/FRONTÃO PARA BANCADA EM GRANITO, COR CINZA ANDORINHA, ESP. 2CM, ALTURA DE 10CM, INCLUSIVE REJUNTAMENTO  EM MASSA PLÁSTICA NA COR DA PEDRA</v>
      </c>
      <c r="D65" s="17" t="s">
        <v>26</v>
      </c>
      <c r="E65" s="78">
        <f>0.65+1.3</f>
        <v>1.9500000000000002</v>
      </c>
      <c r="F65" s="514" t="s">
        <v>533</v>
      </c>
      <c r="G65" s="514"/>
      <c r="H65" s="3"/>
    </row>
    <row r="66" spans="1:8" ht="52.8" customHeight="1" x14ac:dyDescent="0.25">
      <c r="A66" s="6" t="s">
        <v>98</v>
      </c>
      <c r="B66" s="199" t="str">
        <f>'MEC 01 '!B58</f>
        <v>ED-49940</v>
      </c>
      <c r="C66" s="20" t="s">
        <v>534</v>
      </c>
      <c r="D66" s="17" t="s">
        <v>26</v>
      </c>
      <c r="E66" s="78">
        <f>0.65+1.3</f>
        <v>1.9500000000000002</v>
      </c>
      <c r="F66" s="514" t="s">
        <v>533</v>
      </c>
      <c r="G66" s="514"/>
      <c r="H66" s="3"/>
    </row>
    <row r="67" spans="1:8" ht="52.8" customHeight="1" x14ac:dyDescent="0.25">
      <c r="A67" s="6" t="s">
        <v>99</v>
      </c>
      <c r="B67" s="199" t="s">
        <v>730</v>
      </c>
      <c r="C67" s="20" t="s">
        <v>226</v>
      </c>
      <c r="D67" s="17" t="s">
        <v>258</v>
      </c>
      <c r="E67" s="78">
        <v>1</v>
      </c>
      <c r="F67" s="514" t="s">
        <v>353</v>
      </c>
      <c r="G67" s="514"/>
      <c r="H67" s="3"/>
    </row>
    <row r="68" spans="1:8" ht="52.8" customHeight="1" x14ac:dyDescent="0.25">
      <c r="A68" s="6" t="s">
        <v>100</v>
      </c>
      <c r="B68" s="199" t="s">
        <v>731</v>
      </c>
      <c r="C68" s="20" t="s">
        <v>227</v>
      </c>
      <c r="D68" s="17" t="s">
        <v>258</v>
      </c>
      <c r="E68" s="78">
        <v>1</v>
      </c>
      <c r="F68" s="514" t="s">
        <v>353</v>
      </c>
      <c r="G68" s="514"/>
      <c r="H68" s="3"/>
    </row>
    <row r="69" spans="1:8" ht="59.4" customHeight="1" x14ac:dyDescent="0.25">
      <c r="A69" s="6" t="s">
        <v>101</v>
      </c>
      <c r="B69" s="199" t="s">
        <v>732</v>
      </c>
      <c r="C69" s="20" t="s">
        <v>228</v>
      </c>
      <c r="D69" s="17" t="s">
        <v>258</v>
      </c>
      <c r="E69" s="78">
        <v>1</v>
      </c>
      <c r="F69" s="514" t="s">
        <v>355</v>
      </c>
      <c r="G69" s="514"/>
      <c r="H69" s="3"/>
    </row>
    <row r="70" spans="1:8" ht="58.8" customHeight="1" x14ac:dyDescent="0.25">
      <c r="A70" s="6" t="s">
        <v>102</v>
      </c>
      <c r="B70" s="70" t="s">
        <v>535</v>
      </c>
      <c r="C70" s="20" t="s">
        <v>536</v>
      </c>
      <c r="D70" s="17" t="s">
        <v>258</v>
      </c>
      <c r="E70" s="78">
        <v>1</v>
      </c>
      <c r="F70" s="514" t="s">
        <v>356</v>
      </c>
      <c r="G70" s="514"/>
      <c r="H70" s="3"/>
    </row>
    <row r="71" spans="1:8" ht="27.6" customHeight="1" x14ac:dyDescent="0.25">
      <c r="A71" s="6" t="s">
        <v>103</v>
      </c>
      <c r="B71" s="199" t="s">
        <v>733</v>
      </c>
      <c r="C71" s="20" t="s">
        <v>229</v>
      </c>
      <c r="D71" s="17" t="s">
        <v>258</v>
      </c>
      <c r="E71" s="78">
        <v>2</v>
      </c>
      <c r="F71" s="514" t="s">
        <v>357</v>
      </c>
      <c r="G71" s="514"/>
      <c r="H71" s="3"/>
    </row>
    <row r="72" spans="1:8" ht="27.6" customHeight="1" x14ac:dyDescent="0.25">
      <c r="A72" s="6" t="s">
        <v>104</v>
      </c>
      <c r="B72" s="70" t="s">
        <v>734</v>
      </c>
      <c r="C72" s="20" t="s">
        <v>230</v>
      </c>
      <c r="D72" s="17" t="s">
        <v>258</v>
      </c>
      <c r="E72" s="78">
        <v>1</v>
      </c>
      <c r="F72" s="514" t="s">
        <v>354</v>
      </c>
      <c r="G72" s="514"/>
      <c r="H72" s="3"/>
    </row>
    <row r="73" spans="1:8" s="21" customFormat="1" ht="19.95" customHeight="1" x14ac:dyDescent="0.25">
      <c r="A73" s="72">
        <v>8</v>
      </c>
      <c r="B73" s="73" t="s">
        <v>105</v>
      </c>
      <c r="C73" s="515" t="s">
        <v>106</v>
      </c>
      <c r="D73" s="516"/>
      <c r="E73" s="74"/>
      <c r="F73" s="517"/>
      <c r="G73" s="518"/>
    </row>
    <row r="74" spans="1:8" ht="58.8" customHeight="1" x14ac:dyDescent="0.25">
      <c r="A74" s="6" t="s">
        <v>107</v>
      </c>
      <c r="B74" s="199" t="s">
        <v>547</v>
      </c>
      <c r="C74" s="20" t="str">
        <f>'Planilha Orcamentaria'!C82</f>
        <v>ENTRADA DE ENERGIA AÉREA, TIPO C3, PADRÃO CEMIG, CARGA INSTALADA DE 23,1KVA ATÉ 27KVA, TRIFÁSICO, COM SAÍDA SUBTERRÂNEA, INCLUSIVE POSTE, CAIXA PARA MEDIDOR, DISJUNTOR, BARRAMENTO, ATERRAMENTO E ACESSÓRIOS</v>
      </c>
      <c r="D74" s="17" t="str">
        <f>'Planilha Orcamentaria'!D82</f>
        <v>UNID.</v>
      </c>
      <c r="E74" s="78">
        <v>1</v>
      </c>
      <c r="F74" s="514" t="s">
        <v>538</v>
      </c>
      <c r="G74" s="514"/>
      <c r="H74" s="3"/>
    </row>
    <row r="75" spans="1:8" ht="27.6" customHeight="1" x14ac:dyDescent="0.25">
      <c r="A75" s="6" t="s">
        <v>108</v>
      </c>
      <c r="B75" s="199" t="s">
        <v>549</v>
      </c>
      <c r="C75" s="20" t="str">
        <f>'Planilha Orcamentaria'!C83</f>
        <v xml:space="preserve">QUADRO DE DISTRIBUIÇÃO PARA 24 MÓDULOS COM BARRAMENTO 100 A </v>
      </c>
      <c r="D75" s="17" t="str">
        <f>'Planilha Orcamentaria'!D83</f>
        <v>UNID.</v>
      </c>
      <c r="E75" s="78">
        <v>1</v>
      </c>
      <c r="F75" s="514" t="s">
        <v>538</v>
      </c>
      <c r="G75" s="514"/>
      <c r="H75" s="3"/>
    </row>
    <row r="76" spans="1:8" ht="27.6" customHeight="1" x14ac:dyDescent="0.25">
      <c r="A76" s="6" t="s">
        <v>109</v>
      </c>
      <c r="B76" s="70" t="s">
        <v>735</v>
      </c>
      <c r="C76" s="20" t="str">
        <f>'Planilha Orcamentaria'!C84</f>
        <v>DISJUNTOR MONOPOLAR TERMOMAGNÉTICO 5KA, DE 15A</v>
      </c>
      <c r="D76" s="17" t="str">
        <f>'Planilha Orcamentaria'!D84</f>
        <v>UNID.</v>
      </c>
      <c r="E76" s="78">
        <v>4</v>
      </c>
      <c r="F76" s="514" t="s">
        <v>538</v>
      </c>
      <c r="G76" s="514"/>
      <c r="H76" s="3"/>
    </row>
    <row r="77" spans="1:8" ht="27.6" customHeight="1" x14ac:dyDescent="0.25">
      <c r="A77" s="6" t="s">
        <v>110</v>
      </c>
      <c r="B77" s="70" t="s">
        <v>736</v>
      </c>
      <c r="C77" s="20" t="str">
        <f>'Planilha Orcamentaria'!C85</f>
        <v>DISJUNTOR MONOPOLAR TERMOMAGNÉTICO 5KA, DE 20A</v>
      </c>
      <c r="D77" s="17" t="str">
        <f>'Planilha Orcamentaria'!D85</f>
        <v>UNID.</v>
      </c>
      <c r="E77" s="78">
        <v>3</v>
      </c>
      <c r="F77" s="514" t="s">
        <v>538</v>
      </c>
      <c r="G77" s="514"/>
      <c r="H77" s="3"/>
    </row>
    <row r="78" spans="1:8" ht="27.6" customHeight="1" x14ac:dyDescent="0.25">
      <c r="A78" s="6" t="s">
        <v>111</v>
      </c>
      <c r="B78" s="70" t="s">
        <v>737</v>
      </c>
      <c r="C78" s="20" t="str">
        <f>'Planilha Orcamentaria'!C86</f>
        <v>DISJUNTOR BIPOLAR TERMOMAGNÉTICO 10KA, DE 30A</v>
      </c>
      <c r="D78" s="17" t="str">
        <f>'Planilha Orcamentaria'!D86</f>
        <v>UNID.</v>
      </c>
      <c r="E78" s="78">
        <v>2</v>
      </c>
      <c r="F78" s="514" t="s">
        <v>538</v>
      </c>
      <c r="G78" s="514"/>
      <c r="H78" s="3"/>
    </row>
    <row r="79" spans="1:8" ht="27.6" customHeight="1" x14ac:dyDescent="0.25">
      <c r="A79" s="6" t="s">
        <v>112</v>
      </c>
      <c r="B79" s="70" t="s">
        <v>738</v>
      </c>
      <c r="C79" s="20" t="str">
        <f>'Planilha Orcamentaria'!C85</f>
        <v>DISJUNTOR MONOPOLAR TERMOMAGNÉTICO 5KA, DE 20A</v>
      </c>
      <c r="D79" s="17" t="str">
        <f>'Planilha Orcamentaria'!D85</f>
        <v>UNID.</v>
      </c>
      <c r="E79" s="78">
        <v>1</v>
      </c>
      <c r="F79" s="514" t="s">
        <v>538</v>
      </c>
      <c r="G79" s="514"/>
      <c r="H79" s="3"/>
    </row>
    <row r="80" spans="1:8" ht="27.6" customHeight="1" x14ac:dyDescent="0.25">
      <c r="A80" s="6" t="s">
        <v>113</v>
      </c>
      <c r="B80" s="70" t="s">
        <v>739</v>
      </c>
      <c r="C80" s="20" t="s">
        <v>231</v>
      </c>
      <c r="D80" s="17" t="s">
        <v>258</v>
      </c>
      <c r="E80" s="78">
        <v>5</v>
      </c>
      <c r="F80" s="514" t="s">
        <v>538</v>
      </c>
      <c r="G80" s="514"/>
      <c r="H80" s="3"/>
    </row>
    <row r="81" spans="1:8" ht="27.6" customHeight="1" x14ac:dyDescent="0.25">
      <c r="A81" s="6" t="s">
        <v>114</v>
      </c>
      <c r="B81" s="70" t="s">
        <v>740</v>
      </c>
      <c r="C81" s="20" t="s">
        <v>232</v>
      </c>
      <c r="D81" s="17" t="s">
        <v>258</v>
      </c>
      <c r="E81" s="78">
        <v>5</v>
      </c>
      <c r="F81" s="514" t="s">
        <v>538</v>
      </c>
      <c r="G81" s="514"/>
      <c r="H81" s="3"/>
    </row>
    <row r="82" spans="1:8" ht="27.6" customHeight="1" x14ac:dyDescent="0.25">
      <c r="A82" s="6" t="s">
        <v>115</v>
      </c>
      <c r="B82" s="70" t="s">
        <v>539</v>
      </c>
      <c r="C82" s="20" t="s">
        <v>540</v>
      </c>
      <c r="D82" s="17" t="s">
        <v>258</v>
      </c>
      <c r="E82" s="78">
        <v>31</v>
      </c>
      <c r="F82" s="514" t="s">
        <v>538</v>
      </c>
      <c r="G82" s="514"/>
      <c r="H82" s="3"/>
    </row>
    <row r="83" spans="1:8" ht="27.6" customHeight="1" x14ac:dyDescent="0.25">
      <c r="A83" s="6" t="s">
        <v>116</v>
      </c>
      <c r="B83" s="199" t="s">
        <v>541</v>
      </c>
      <c r="C83" s="20" t="s">
        <v>542</v>
      </c>
      <c r="D83" s="17" t="s">
        <v>258</v>
      </c>
      <c r="E83" s="78">
        <v>9</v>
      </c>
      <c r="F83" s="514" t="s">
        <v>538</v>
      </c>
      <c r="G83" s="514"/>
      <c r="H83" s="3"/>
    </row>
    <row r="84" spans="1:8" ht="27.6" customHeight="1" x14ac:dyDescent="0.25">
      <c r="A84" s="6" t="s">
        <v>117</v>
      </c>
      <c r="B84" s="199" t="s">
        <v>543</v>
      </c>
      <c r="C84" s="20" t="s">
        <v>544</v>
      </c>
      <c r="D84" s="17" t="s">
        <v>258</v>
      </c>
      <c r="E84" s="78">
        <v>71</v>
      </c>
      <c r="F84" s="514" t="s">
        <v>538</v>
      </c>
      <c r="G84" s="514"/>
      <c r="H84" s="3"/>
    </row>
    <row r="85" spans="1:8" ht="27.6" customHeight="1" x14ac:dyDescent="0.25">
      <c r="A85" s="6" t="s">
        <v>118</v>
      </c>
      <c r="B85" s="199" t="s">
        <v>545</v>
      </c>
      <c r="C85" s="20" t="str">
        <f>'Planilha Orcamentaria'!C93</f>
        <v>SENSOR DE PRESENÇA COM FOTOCÉLULA, FIXAÇÃO EM TETO - FORNECIMENTO E INSTALAÇÃO. AF_02/2020</v>
      </c>
      <c r="D85" s="17" t="s">
        <v>258</v>
      </c>
      <c r="E85" s="78">
        <v>3</v>
      </c>
      <c r="F85" s="514" t="s">
        <v>538</v>
      </c>
      <c r="G85" s="514"/>
      <c r="H85" s="3"/>
    </row>
    <row r="86" spans="1:8" ht="27.6" customHeight="1" x14ac:dyDescent="0.25">
      <c r="A86" s="6" t="s">
        <v>119</v>
      </c>
      <c r="B86" s="70" t="s">
        <v>741</v>
      </c>
      <c r="C86" s="20" t="s">
        <v>233</v>
      </c>
      <c r="D86" s="8" t="s">
        <v>150</v>
      </c>
      <c r="E86" s="78">
        <v>2</v>
      </c>
      <c r="F86" s="514" t="s">
        <v>538</v>
      </c>
      <c r="G86" s="514"/>
      <c r="H86" s="3"/>
    </row>
    <row r="87" spans="1:8" ht="27.6" customHeight="1" x14ac:dyDescent="0.25">
      <c r="A87" s="6" t="s">
        <v>120</v>
      </c>
      <c r="B87" s="70" t="s">
        <v>742</v>
      </c>
      <c r="C87" s="20" t="s">
        <v>144</v>
      </c>
      <c r="D87" s="17" t="s">
        <v>150</v>
      </c>
      <c r="E87" s="78">
        <v>1</v>
      </c>
      <c r="F87" s="514" t="s">
        <v>538</v>
      </c>
      <c r="G87" s="514"/>
      <c r="H87" s="3"/>
    </row>
    <row r="88" spans="1:8" ht="27.6" customHeight="1" x14ac:dyDescent="0.25">
      <c r="A88" s="6" t="s">
        <v>121</v>
      </c>
      <c r="B88" s="70" t="s">
        <v>743</v>
      </c>
      <c r="C88" s="20" t="s">
        <v>145</v>
      </c>
      <c r="D88" s="17" t="s">
        <v>150</v>
      </c>
      <c r="E88" s="78">
        <v>1</v>
      </c>
      <c r="F88" s="514" t="s">
        <v>538</v>
      </c>
      <c r="G88" s="514"/>
      <c r="H88" s="3"/>
    </row>
    <row r="89" spans="1:8" ht="27.6" customHeight="1" x14ac:dyDescent="0.25">
      <c r="A89" s="6" t="s">
        <v>122</v>
      </c>
      <c r="B89" s="70" t="s">
        <v>744</v>
      </c>
      <c r="C89" s="20" t="str">
        <f>'Planilha Orcamentaria'!C97</f>
        <v>INTERRUPTOR, TRÊS TECLAS SIMPLES 10 A - 250 V</v>
      </c>
      <c r="D89" s="17" t="s">
        <v>258</v>
      </c>
      <c r="E89" s="78">
        <v>2</v>
      </c>
      <c r="F89" s="514" t="s">
        <v>538</v>
      </c>
      <c r="G89" s="514"/>
      <c r="H89" s="3"/>
    </row>
    <row r="90" spans="1:8" ht="27.6" customHeight="1" x14ac:dyDescent="0.25">
      <c r="A90" s="6" t="s">
        <v>123</v>
      </c>
      <c r="B90" s="70" t="s">
        <v>745</v>
      </c>
      <c r="C90" s="20" t="str">
        <f>'Planilha Orcamentaria'!C98</f>
        <v>INTERRUPTOR UMA TECLA SIMPLES 10 A - 250 V, COM PLACA</v>
      </c>
      <c r="D90" s="17" t="s">
        <v>258</v>
      </c>
      <c r="E90" s="78">
        <v>11</v>
      </c>
      <c r="F90" s="514" t="s">
        <v>538</v>
      </c>
      <c r="G90" s="514"/>
      <c r="H90" s="3"/>
    </row>
    <row r="91" spans="1:8" ht="27.6" customHeight="1" x14ac:dyDescent="0.25">
      <c r="A91" s="6" t="s">
        <v>124</v>
      </c>
      <c r="B91" s="70" t="s">
        <v>746</v>
      </c>
      <c r="C91" s="20" t="str">
        <f>'Planilha Orcamentaria'!C99</f>
        <v>INTERRUPTOR, UMA TECLA PARALELO 10 A - 250 V, SEM PLACA</v>
      </c>
      <c r="D91" s="17" t="s">
        <v>258</v>
      </c>
      <c r="E91" s="78">
        <v>3</v>
      </c>
      <c r="F91" s="514" t="s">
        <v>538</v>
      </c>
      <c r="G91" s="514"/>
      <c r="H91" s="3"/>
    </row>
    <row r="92" spans="1:8" ht="27.6" customHeight="1" x14ac:dyDescent="0.25">
      <c r="A92" s="6" t="s">
        <v>125</v>
      </c>
      <c r="B92" s="70" t="s">
        <v>747</v>
      </c>
      <c r="C92" s="20" t="str">
        <f>'Planilha Orcamentaria'!C100</f>
        <v xml:space="preserve">TOMADA DUPLA - 2P + T -20A COM PLACA </v>
      </c>
      <c r="D92" s="17" t="s">
        <v>258</v>
      </c>
      <c r="E92" s="78">
        <v>3</v>
      </c>
      <c r="F92" s="514" t="s">
        <v>538</v>
      </c>
      <c r="G92" s="514"/>
      <c r="H92" s="3"/>
    </row>
    <row r="93" spans="1:8" ht="27.6" customHeight="1" x14ac:dyDescent="0.25">
      <c r="A93" s="6" t="s">
        <v>126</v>
      </c>
      <c r="B93" s="70" t="s">
        <v>748</v>
      </c>
      <c r="C93" s="20" t="str">
        <f>'Planilha Orcamentaria'!C101</f>
        <v>TOMADA SIMPLES - 2P + T - 20A COM PLACA</v>
      </c>
      <c r="D93" s="17" t="s">
        <v>258</v>
      </c>
      <c r="E93" s="78">
        <v>30</v>
      </c>
      <c r="F93" s="514" t="s">
        <v>538</v>
      </c>
      <c r="G93" s="514"/>
      <c r="H93" s="3"/>
    </row>
    <row r="94" spans="1:8" ht="27.6" customHeight="1" x14ac:dyDescent="0.25">
      <c r="A94" s="6" t="s">
        <v>127</v>
      </c>
      <c r="B94" s="70" t="s">
        <v>749</v>
      </c>
      <c r="C94" s="20" t="str">
        <f>'Planilha Orcamentaria'!C102</f>
        <v>TOMADA PARA TELEFONE, PADRÃO TELEBRÁS 4P SEM PLACA</v>
      </c>
      <c r="D94" s="17" t="s">
        <v>258</v>
      </c>
      <c r="E94" s="78">
        <v>4</v>
      </c>
      <c r="F94" s="514" t="s">
        <v>538</v>
      </c>
      <c r="G94" s="514"/>
      <c r="H94" s="3"/>
    </row>
    <row r="95" spans="1:8" ht="27.6" customHeight="1" x14ac:dyDescent="0.25">
      <c r="A95" s="6" t="s">
        <v>128</v>
      </c>
      <c r="B95" s="204" t="s">
        <v>568</v>
      </c>
      <c r="C95" s="20" t="str">
        <f>'Planilha Orcamentaria'!C103</f>
        <v>DISPOSITIVO DR, 4 POLOS, SENSIBILIDADE DE 30 MA, CORRENTE DE 40 A, TIPO AC</v>
      </c>
      <c r="D95" s="17" t="s">
        <v>258</v>
      </c>
      <c r="E95" s="78">
        <v>1</v>
      </c>
      <c r="F95" s="514" t="s">
        <v>538</v>
      </c>
      <c r="G95" s="514"/>
      <c r="H95" s="3"/>
    </row>
    <row r="96" spans="1:8" ht="27.6" customHeight="1" x14ac:dyDescent="0.25">
      <c r="A96" s="6" t="s">
        <v>129</v>
      </c>
      <c r="B96" s="204" t="s">
        <v>580</v>
      </c>
      <c r="C96" s="20" t="str">
        <f>'Planilha Orcamentaria'!C104</f>
        <v xml:space="preserve"> DISPOSITIVO DPS CLASSE II, 1 POLO, TENSAO MAXIMA DE 275 V, CORRENTE MAXIMA DE *20* KA (TIPO AC)</v>
      </c>
      <c r="D96" s="17" t="s">
        <v>258</v>
      </c>
      <c r="E96" s="78">
        <v>4</v>
      </c>
      <c r="F96" s="514" t="s">
        <v>538</v>
      </c>
      <c r="G96" s="514"/>
      <c r="H96" s="3"/>
    </row>
    <row r="97" spans="1:8" ht="27.6" customHeight="1" x14ac:dyDescent="0.25">
      <c r="A97" s="6" t="s">
        <v>130</v>
      </c>
      <c r="B97" s="199" t="s">
        <v>552</v>
      </c>
      <c r="C97" s="20" t="str">
        <f>'Planilha Orcamentaria'!C105</f>
        <v>ELETRODUTO FLEXÍVEL CORRUGADO, PVC, ANTI-CHAMA, DN 25MM (3/4"), APLICADO EM ALVENARIA, INCLUSIVE RASGO</v>
      </c>
      <c r="D97" s="17" t="s">
        <v>26</v>
      </c>
      <c r="E97" s="78">
        <v>12.4</v>
      </c>
      <c r="F97" s="514" t="s">
        <v>538</v>
      </c>
      <c r="G97" s="514"/>
      <c r="H97" s="3"/>
    </row>
    <row r="98" spans="1:8" ht="27.6" customHeight="1" x14ac:dyDescent="0.25">
      <c r="A98" s="6" t="s">
        <v>131</v>
      </c>
      <c r="B98" s="70" t="s">
        <v>750</v>
      </c>
      <c r="C98" s="20" t="str">
        <f>'Planilha Orcamentaria'!C106</f>
        <v>ELETRODUTO FLEXÍVEL CORRUGADO, PVC, ANTI-CHAMA, DN 20MM (1/2"), APLICADO EM ALVENARIA, INCLUSIVE RASGO</v>
      </c>
      <c r="D98" s="17" t="s">
        <v>26</v>
      </c>
      <c r="E98" s="78">
        <v>353.37</v>
      </c>
      <c r="F98" s="514" t="s">
        <v>538</v>
      </c>
      <c r="G98" s="514"/>
      <c r="H98" s="3"/>
    </row>
    <row r="99" spans="1:8" ht="27.6" customHeight="1" x14ac:dyDescent="0.25">
      <c r="A99" s="6" t="s">
        <v>132</v>
      </c>
      <c r="B99" s="199" t="s">
        <v>554</v>
      </c>
      <c r="C99" s="20" t="s">
        <v>555</v>
      </c>
      <c r="D99" s="17" t="s">
        <v>26</v>
      </c>
      <c r="E99" s="78">
        <v>1074</v>
      </c>
      <c r="F99" s="514" t="s">
        <v>538</v>
      </c>
      <c r="G99" s="514"/>
      <c r="H99" s="3"/>
    </row>
    <row r="100" spans="1:8" ht="27.6" customHeight="1" x14ac:dyDescent="0.25">
      <c r="A100" s="6" t="s">
        <v>133</v>
      </c>
      <c r="B100" s="199" t="s">
        <v>556</v>
      </c>
      <c r="C100" s="20" t="s">
        <v>557</v>
      </c>
      <c r="D100" s="17" t="s">
        <v>26</v>
      </c>
      <c r="E100" s="78">
        <v>238</v>
      </c>
      <c r="F100" s="514" t="s">
        <v>538</v>
      </c>
      <c r="G100" s="514"/>
      <c r="H100" s="3"/>
    </row>
    <row r="101" spans="1:8" ht="27.6" customHeight="1" x14ac:dyDescent="0.25">
      <c r="A101" s="6" t="s">
        <v>134</v>
      </c>
      <c r="B101" s="199" t="s">
        <v>558</v>
      </c>
      <c r="C101" s="20" t="s">
        <v>561</v>
      </c>
      <c r="D101" s="17" t="s">
        <v>26</v>
      </c>
      <c r="E101" s="78">
        <v>56.74</v>
      </c>
      <c r="F101" s="514" t="s">
        <v>538</v>
      </c>
      <c r="G101" s="514"/>
      <c r="H101" s="3"/>
    </row>
    <row r="102" spans="1:8" ht="27.6" customHeight="1" x14ac:dyDescent="0.25">
      <c r="A102" s="6" t="s">
        <v>135</v>
      </c>
      <c r="B102" s="199" t="s">
        <v>559</v>
      </c>
      <c r="C102" s="20" t="s">
        <v>560</v>
      </c>
      <c r="D102" s="17" t="s">
        <v>26</v>
      </c>
      <c r="E102" s="78">
        <v>180</v>
      </c>
      <c r="F102" s="514" t="s">
        <v>538</v>
      </c>
      <c r="G102" s="514"/>
      <c r="H102" s="3"/>
    </row>
    <row r="103" spans="1:8" ht="27.6" customHeight="1" x14ac:dyDescent="0.25">
      <c r="A103" s="6" t="s">
        <v>136</v>
      </c>
      <c r="B103" s="70" t="s">
        <v>751</v>
      </c>
      <c r="C103" s="20" t="s">
        <v>235</v>
      </c>
      <c r="D103" s="8" t="s">
        <v>26</v>
      </c>
      <c r="E103" s="78">
        <v>22</v>
      </c>
      <c r="F103" s="514" t="s">
        <v>538</v>
      </c>
      <c r="G103" s="514"/>
      <c r="H103" s="3"/>
    </row>
    <row r="104" spans="1:8" ht="27.6" customHeight="1" x14ac:dyDescent="0.25">
      <c r="A104" s="6" t="s">
        <v>137</v>
      </c>
      <c r="B104" s="70" t="s">
        <v>752</v>
      </c>
      <c r="C104" s="20" t="s">
        <v>237</v>
      </c>
      <c r="D104" s="17" t="s">
        <v>258</v>
      </c>
      <c r="E104" s="78">
        <v>39</v>
      </c>
      <c r="F104" s="514" t="s">
        <v>538</v>
      </c>
      <c r="G104" s="514"/>
      <c r="H104" s="3"/>
    </row>
    <row r="105" spans="1:8" ht="27.6" customHeight="1" x14ac:dyDescent="0.25">
      <c r="A105" s="6" t="s">
        <v>138</v>
      </c>
      <c r="B105" s="199" t="s">
        <v>582</v>
      </c>
      <c r="C105" s="284" t="s">
        <v>584</v>
      </c>
      <c r="D105" s="17" t="s">
        <v>258</v>
      </c>
      <c r="E105" s="78">
        <f>E104</f>
        <v>39</v>
      </c>
      <c r="F105" s="514" t="s">
        <v>538</v>
      </c>
      <c r="G105" s="514"/>
      <c r="H105" s="3"/>
    </row>
    <row r="106" spans="1:8" s="21" customFormat="1" ht="19.95" customHeight="1" x14ac:dyDescent="0.25">
      <c r="A106" s="72">
        <v>9</v>
      </c>
      <c r="B106" s="73" t="s">
        <v>151</v>
      </c>
      <c r="C106" s="515" t="s">
        <v>152</v>
      </c>
      <c r="D106" s="516"/>
      <c r="E106" s="74"/>
      <c r="F106" s="517"/>
      <c r="G106" s="518"/>
    </row>
    <row r="107" spans="1:8" ht="43.2" customHeight="1" x14ac:dyDescent="0.25">
      <c r="A107" s="6" t="s">
        <v>153</v>
      </c>
      <c r="B107" s="70" t="s">
        <v>753</v>
      </c>
      <c r="C107" s="20" t="s">
        <v>207</v>
      </c>
      <c r="D107" s="8" t="s">
        <v>8</v>
      </c>
      <c r="E107" s="78">
        <v>3</v>
      </c>
      <c r="F107" s="514" t="s">
        <v>585</v>
      </c>
      <c r="G107" s="514"/>
      <c r="H107" s="3"/>
    </row>
    <row r="108" spans="1:8" s="21" customFormat="1" ht="19.95" customHeight="1" x14ac:dyDescent="0.25">
      <c r="A108" s="72">
        <v>10</v>
      </c>
      <c r="B108" s="73" t="s">
        <v>154</v>
      </c>
      <c r="C108" s="515" t="s">
        <v>155</v>
      </c>
      <c r="D108" s="516"/>
      <c r="E108" s="74"/>
      <c r="F108" s="517"/>
      <c r="G108" s="518"/>
    </row>
    <row r="109" spans="1:8" ht="64.95" customHeight="1" x14ac:dyDescent="0.25">
      <c r="A109" s="6" t="s">
        <v>156</v>
      </c>
      <c r="B109" s="70" t="s">
        <v>754</v>
      </c>
      <c r="C109" s="20" t="s">
        <v>283</v>
      </c>
      <c r="D109" s="8" t="s">
        <v>18</v>
      </c>
      <c r="E109" s="79">
        <f>(0.7*2*2)+(1*0.5*5)+(1.5*0.5*6)+(2*0.5*3)</f>
        <v>12.8</v>
      </c>
      <c r="F109" s="514" t="s">
        <v>601</v>
      </c>
      <c r="G109" s="514"/>
      <c r="H109" s="3"/>
    </row>
    <row r="110" spans="1:8" ht="43.2" customHeight="1" x14ac:dyDescent="0.25">
      <c r="A110" s="6" t="s">
        <v>157</v>
      </c>
      <c r="B110" s="70" t="s">
        <v>755</v>
      </c>
      <c r="C110" s="20" t="s">
        <v>284</v>
      </c>
      <c r="D110" s="8" t="s">
        <v>18</v>
      </c>
      <c r="E110" s="78">
        <f>1.5*1.2+2*1.2</f>
        <v>4.1999999999999993</v>
      </c>
      <c r="F110" s="514" t="s">
        <v>602</v>
      </c>
      <c r="G110" s="514"/>
      <c r="H110" s="3"/>
    </row>
    <row r="111" spans="1:8" ht="27.6" customHeight="1" x14ac:dyDescent="0.25">
      <c r="A111" s="6"/>
      <c r="B111" s="70" t="s">
        <v>756</v>
      </c>
      <c r="C111" s="20" t="s">
        <v>606</v>
      </c>
      <c r="D111" s="8" t="s">
        <v>18</v>
      </c>
      <c r="E111" s="78">
        <f>2.4*0.6*1</f>
        <v>1.44</v>
      </c>
      <c r="F111" s="514" t="s">
        <v>608</v>
      </c>
      <c r="G111" s="514"/>
      <c r="H111" s="3"/>
    </row>
    <row r="112" spans="1:8" ht="33.6" customHeight="1" x14ac:dyDescent="0.25">
      <c r="A112" s="6" t="s">
        <v>158</v>
      </c>
      <c r="B112" s="70" t="s">
        <v>757</v>
      </c>
      <c r="C112" s="20" t="s">
        <v>159</v>
      </c>
      <c r="D112" s="8" t="s">
        <v>88</v>
      </c>
      <c r="E112" s="79">
        <v>1</v>
      </c>
      <c r="F112" s="514" t="s">
        <v>286</v>
      </c>
      <c r="G112" s="514"/>
      <c r="H112" s="3"/>
    </row>
    <row r="113" spans="1:8" ht="72" customHeight="1" x14ac:dyDescent="0.25">
      <c r="A113" s="6" t="s">
        <v>603</v>
      </c>
      <c r="B113" s="70" t="s">
        <v>786</v>
      </c>
      <c r="C113" s="20" t="s">
        <v>586</v>
      </c>
      <c r="D113" s="8" t="s">
        <v>18</v>
      </c>
      <c r="E113" s="78">
        <f>0.8*2.1*1+0.9*2.1*1+0.8*2.1*1+0.8*2.1*1+0.9*2.1*1+0.8*2.1*1+0.55*1.8*1+0.8*2.1*1+0.8*2.1*2+0.8*2.1*1+0.55*1.8*1+0.8*2.1*1+0.55*1.8*1</f>
        <v>21.869999999999997</v>
      </c>
      <c r="F113" s="514" t="s">
        <v>588</v>
      </c>
      <c r="G113" s="514"/>
      <c r="H113" s="3"/>
    </row>
    <row r="114" spans="1:8" ht="27.6" customHeight="1" x14ac:dyDescent="0.25">
      <c r="A114" s="6" t="s">
        <v>604</v>
      </c>
      <c r="B114" s="70" t="s">
        <v>785</v>
      </c>
      <c r="C114" s="20" t="s">
        <v>587</v>
      </c>
      <c r="D114" s="8" t="s">
        <v>258</v>
      </c>
      <c r="E114" s="78">
        <v>6</v>
      </c>
      <c r="F114" s="514" t="s">
        <v>589</v>
      </c>
      <c r="G114" s="514"/>
      <c r="H114" s="3"/>
    </row>
    <row r="115" spans="1:8" ht="43.2" customHeight="1" x14ac:dyDescent="0.25">
      <c r="A115" s="6" t="s">
        <v>605</v>
      </c>
      <c r="B115" s="204" t="s">
        <v>591</v>
      </c>
      <c r="C115" s="20" t="str">
        <f>'Planilha Orcamentaria'!C123</f>
        <v>FORNECIMENTO E ASSENTAMENTO DE PORTA DE ALUMÍNIO, LINHA SUPREMA ACABAMENTO ANODIZADO, TIPO CORRER, COM DUAS FOLHAS, INCLUSIVE FORNECIMENTO DE VIDRO LISO TEMPERADO DE 8MM, FERRAGENS E ACESSÓRIOS</v>
      </c>
      <c r="D115" s="8" t="s">
        <v>18</v>
      </c>
      <c r="E115" s="78">
        <f>2.4*2.15*1</f>
        <v>5.1599999999999993</v>
      </c>
      <c r="F115" s="514" t="s">
        <v>590</v>
      </c>
      <c r="G115" s="514"/>
      <c r="H115" s="3"/>
    </row>
    <row r="116" spans="1:8" ht="27.6" customHeight="1" x14ac:dyDescent="0.25">
      <c r="A116" s="6" t="s">
        <v>607</v>
      </c>
      <c r="B116" s="199" t="s">
        <v>844</v>
      </c>
      <c r="C116" s="20" t="s">
        <v>845</v>
      </c>
      <c r="D116" s="8" t="s">
        <v>26</v>
      </c>
      <c r="E116" s="78">
        <v>5</v>
      </c>
      <c r="F116" s="514">
        <v>5</v>
      </c>
      <c r="G116" s="514"/>
      <c r="H116" s="3"/>
    </row>
    <row r="117" spans="1:8" s="21" customFormat="1" ht="19.95" customHeight="1" x14ac:dyDescent="0.25">
      <c r="A117" s="72">
        <v>11</v>
      </c>
      <c r="B117" s="73" t="s">
        <v>160</v>
      </c>
      <c r="C117" s="515" t="s">
        <v>161</v>
      </c>
      <c r="D117" s="516"/>
      <c r="E117" s="74"/>
      <c r="F117" s="517"/>
      <c r="G117" s="518"/>
    </row>
    <row r="118" spans="1:8" ht="33.6" customHeight="1" x14ac:dyDescent="0.25">
      <c r="A118" s="6" t="s">
        <v>162</v>
      </c>
      <c r="B118" s="70" t="s">
        <v>758</v>
      </c>
      <c r="C118" s="20" t="s">
        <v>239</v>
      </c>
      <c r="D118" s="8" t="s">
        <v>18</v>
      </c>
      <c r="E118" s="79">
        <f>'ANEXO A MC'!H231+'ANEXO A MC'!L231</f>
        <v>1181.896</v>
      </c>
      <c r="F118" s="514" t="s">
        <v>340</v>
      </c>
      <c r="G118" s="514"/>
      <c r="H118" s="3"/>
    </row>
    <row r="119" spans="1:8" ht="33.6" customHeight="1" x14ac:dyDescent="0.25">
      <c r="A119" s="6" t="s">
        <v>163</v>
      </c>
      <c r="B119" s="70" t="s">
        <v>759</v>
      </c>
      <c r="C119" s="20" t="s">
        <v>240</v>
      </c>
      <c r="D119" s="8" t="s">
        <v>18</v>
      </c>
      <c r="E119" s="79">
        <f>E118</f>
        <v>1181.896</v>
      </c>
      <c r="F119" s="514" t="str">
        <f>F118</f>
        <v xml:space="preserve">SOMATORIO DE ÁREA  PAREDE E TETO CONFORME DADOS NO ANEXO III A MEMORIA DE CALCULO </v>
      </c>
      <c r="G119" s="514"/>
      <c r="H119" s="3"/>
    </row>
    <row r="120" spans="1:8" ht="33.6" customHeight="1" x14ac:dyDescent="0.25">
      <c r="A120" s="6" t="s">
        <v>164</v>
      </c>
      <c r="B120" s="199" t="s">
        <v>610</v>
      </c>
      <c r="C120" s="20" t="s">
        <v>611</v>
      </c>
      <c r="D120" s="8" t="s">
        <v>18</v>
      </c>
      <c r="E120" s="79">
        <f>E121</f>
        <v>129.59600000000003</v>
      </c>
      <c r="F120" s="514" t="s">
        <v>612</v>
      </c>
      <c r="G120" s="514"/>
      <c r="H120" s="3"/>
    </row>
    <row r="121" spans="1:8" ht="48" customHeight="1" x14ac:dyDescent="0.25">
      <c r="A121" s="6" t="s">
        <v>609</v>
      </c>
      <c r="B121" s="70" t="s">
        <v>613</v>
      </c>
      <c r="C121" s="20" t="s">
        <v>614</v>
      </c>
      <c r="D121" s="8" t="s">
        <v>18</v>
      </c>
      <c r="E121" s="79">
        <f>'ANEXO A MC'!J231</f>
        <v>129.59600000000003</v>
      </c>
      <c r="F121" s="514" t="str">
        <f>F133</f>
        <v xml:space="preserve">DADOS RETIRADOS DO ANEXO III A MEMORIA DE CALCULO </v>
      </c>
      <c r="G121" s="514"/>
      <c r="H121" s="3"/>
    </row>
    <row r="122" spans="1:8" ht="48" customHeight="1" x14ac:dyDescent="0.25">
      <c r="A122" s="6" t="s">
        <v>679</v>
      </c>
      <c r="B122" s="199" t="s">
        <v>677</v>
      </c>
      <c r="C122" s="20" t="s">
        <v>678</v>
      </c>
      <c r="D122" s="8" t="s">
        <v>26</v>
      </c>
      <c r="E122" s="79">
        <f>(6*2.85*2)+(1*(2.85+5+2.85)*1)+(6*4.1*1)+(1*(4.1+2+0.32+2+0.25))+(5*0.25*1)+(5*1.45*2)</f>
        <v>93.92</v>
      </c>
      <c r="F122" s="514" t="s">
        <v>680</v>
      </c>
      <c r="G122" s="514"/>
      <c r="H122" s="3"/>
    </row>
    <row r="123" spans="1:8" s="21" customFormat="1" ht="19.95" customHeight="1" x14ac:dyDescent="0.25">
      <c r="A123" s="72">
        <v>12</v>
      </c>
      <c r="B123" s="77" t="s">
        <v>165</v>
      </c>
      <c r="C123" s="515" t="s">
        <v>618</v>
      </c>
      <c r="D123" s="516"/>
      <c r="E123" s="74"/>
      <c r="F123" s="517"/>
      <c r="G123" s="518"/>
    </row>
    <row r="124" spans="1:8" ht="27.6" customHeight="1" x14ac:dyDescent="0.25">
      <c r="A124" s="6" t="s">
        <v>166</v>
      </c>
      <c r="B124" s="70" t="s">
        <v>760</v>
      </c>
      <c r="C124" s="20" t="s">
        <v>167</v>
      </c>
      <c r="D124" s="8" t="s">
        <v>18</v>
      </c>
      <c r="E124" s="78">
        <f>'ANEXO A MC'!G338</f>
        <v>229.54999999999998</v>
      </c>
      <c r="F124" s="514" t="str">
        <f>F121</f>
        <v xml:space="preserve">DADOS RETIRADOS DO ANEXO III A MEMORIA DE CALCULO </v>
      </c>
      <c r="G124" s="514"/>
      <c r="H124" s="3"/>
    </row>
    <row r="125" spans="1:8" ht="27.6" customHeight="1" x14ac:dyDescent="0.25">
      <c r="A125" s="6" t="s">
        <v>168</v>
      </c>
      <c r="B125" s="70" t="s">
        <v>761</v>
      </c>
      <c r="C125" s="20" t="s">
        <v>241</v>
      </c>
      <c r="D125" s="8" t="s">
        <v>18</v>
      </c>
      <c r="E125" s="78">
        <f>'ANEXO A MC'!G338</f>
        <v>229.54999999999998</v>
      </c>
      <c r="F125" s="514" t="str">
        <f>F124</f>
        <v xml:space="preserve">DADOS RETIRADOS DO ANEXO III A MEMORIA DE CALCULO </v>
      </c>
      <c r="G125" s="514"/>
      <c r="H125" s="3"/>
    </row>
    <row r="126" spans="1:8" ht="48" customHeight="1" x14ac:dyDescent="0.25">
      <c r="A126" s="6" t="s">
        <v>169</v>
      </c>
      <c r="B126" s="70" t="s">
        <v>762</v>
      </c>
      <c r="C126" s="20" t="s">
        <v>242</v>
      </c>
      <c r="D126" s="8" t="s">
        <v>18</v>
      </c>
      <c r="E126" s="78">
        <f>'ANEXO A MC'!H338</f>
        <v>155.92999999999998</v>
      </c>
      <c r="F126" s="514" t="str">
        <f>F125</f>
        <v xml:space="preserve">DADOS RETIRADOS DO ANEXO III A MEMORIA DE CALCULO </v>
      </c>
      <c r="G126" s="514"/>
      <c r="H126" s="3"/>
    </row>
    <row r="127" spans="1:8" ht="48" customHeight="1" x14ac:dyDescent="0.25">
      <c r="A127" s="6" t="s">
        <v>170</v>
      </c>
      <c r="B127" s="70" t="s">
        <v>763</v>
      </c>
      <c r="C127" s="20" t="s">
        <v>243</v>
      </c>
      <c r="D127" s="8" t="s">
        <v>18</v>
      </c>
      <c r="E127" s="78">
        <f>'ANEXO A MC'!I338</f>
        <v>79.89</v>
      </c>
      <c r="F127" s="514" t="str">
        <f>F126</f>
        <v xml:space="preserve">DADOS RETIRADOS DO ANEXO III A MEMORIA DE CALCULO </v>
      </c>
      <c r="G127" s="514"/>
      <c r="H127" s="3"/>
    </row>
    <row r="128" spans="1:8" ht="33.6" customHeight="1" x14ac:dyDescent="0.25">
      <c r="A128" s="6" t="s">
        <v>171</v>
      </c>
      <c r="B128" s="70" t="s">
        <v>764</v>
      </c>
      <c r="C128" s="20" t="s">
        <v>244</v>
      </c>
      <c r="D128" s="8" t="s">
        <v>26</v>
      </c>
      <c r="E128" s="78">
        <f>'ANEXO A MC'!J338</f>
        <v>153.77000000000001</v>
      </c>
      <c r="F128" s="514" t="str">
        <f>F127</f>
        <v xml:space="preserve">DADOS RETIRADOS DO ANEXO III A MEMORIA DE CALCULO </v>
      </c>
      <c r="G128" s="514"/>
      <c r="H128" s="3"/>
    </row>
    <row r="129" spans="1:8" ht="27.6" customHeight="1" x14ac:dyDescent="0.25">
      <c r="A129" s="6" t="s">
        <v>172</v>
      </c>
      <c r="B129" s="199" t="s">
        <v>616</v>
      </c>
      <c r="C129" s="20" t="s">
        <v>617</v>
      </c>
      <c r="D129" s="8" t="s">
        <v>18</v>
      </c>
      <c r="E129" s="78">
        <f>0.9*0.2*4+0.8*0.2*9</f>
        <v>2.1600000000000006</v>
      </c>
      <c r="F129" s="514" t="s">
        <v>347</v>
      </c>
      <c r="G129" s="514"/>
      <c r="H129" s="3"/>
    </row>
    <row r="130" spans="1:8" ht="27.6" customHeight="1" x14ac:dyDescent="0.25">
      <c r="A130" s="6" t="s">
        <v>621</v>
      </c>
      <c r="B130" s="199" t="s">
        <v>619</v>
      </c>
      <c r="C130" s="319" t="s">
        <v>620</v>
      </c>
      <c r="D130" s="18" t="s">
        <v>18</v>
      </c>
      <c r="E130" s="78">
        <f>0.7*0.2*2+1*0.2*5+1.5*0.2*3+2*0.2*6</f>
        <v>4.58</v>
      </c>
      <c r="F130" s="514" t="s">
        <v>622</v>
      </c>
      <c r="G130" s="514"/>
      <c r="H130" s="3"/>
    </row>
    <row r="131" spans="1:8" ht="27.6" customHeight="1" x14ac:dyDescent="0.25">
      <c r="A131" s="6" t="s">
        <v>689</v>
      </c>
      <c r="B131" s="199" t="s">
        <v>687</v>
      </c>
      <c r="C131" s="20" t="s">
        <v>688</v>
      </c>
      <c r="D131" s="17" t="s">
        <v>258</v>
      </c>
      <c r="E131" s="78">
        <v>1</v>
      </c>
      <c r="F131" s="514" t="s">
        <v>796</v>
      </c>
      <c r="G131" s="514"/>
      <c r="H131" s="3"/>
    </row>
    <row r="132" spans="1:8" s="21" customFormat="1" ht="19.95" customHeight="1" x14ac:dyDescent="0.25">
      <c r="A132" s="72">
        <v>13</v>
      </c>
      <c r="B132" s="73" t="s">
        <v>173</v>
      </c>
      <c r="C132" s="519" t="s">
        <v>174</v>
      </c>
      <c r="D132" s="520"/>
      <c r="E132" s="74"/>
      <c r="F132" s="517"/>
      <c r="G132" s="518"/>
    </row>
    <row r="133" spans="1:8" ht="33.6" customHeight="1" x14ac:dyDescent="0.25">
      <c r="A133" s="6" t="s">
        <v>175</v>
      </c>
      <c r="B133" s="70" t="s">
        <v>765</v>
      </c>
      <c r="C133" s="20" t="s">
        <v>245</v>
      </c>
      <c r="D133" s="8" t="s">
        <v>18</v>
      </c>
      <c r="E133" s="78">
        <f>'ANEXO A MC'!K231</f>
        <v>902.65200000000016</v>
      </c>
      <c r="F133" s="514" t="s">
        <v>335</v>
      </c>
      <c r="G133" s="514"/>
      <c r="H133" s="3"/>
    </row>
    <row r="134" spans="1:8" ht="33.6" customHeight="1" x14ac:dyDescent="0.25">
      <c r="A134" s="6" t="s">
        <v>176</v>
      </c>
      <c r="B134" s="70" t="s">
        <v>766</v>
      </c>
      <c r="C134" s="20" t="s">
        <v>246</v>
      </c>
      <c r="D134" s="8" t="s">
        <v>18</v>
      </c>
      <c r="E134" s="78">
        <f>'ANEXO A MC'!I231</f>
        <v>1032.248</v>
      </c>
      <c r="F134" s="514" t="str">
        <f>F133</f>
        <v xml:space="preserve">DADOS RETIRADOS DO ANEXO III A MEMORIA DE CALCULO </v>
      </c>
      <c r="G134" s="514"/>
      <c r="H134" s="3"/>
    </row>
    <row r="135" spans="1:8" ht="33.6" customHeight="1" x14ac:dyDescent="0.25">
      <c r="A135" s="6" t="s">
        <v>177</v>
      </c>
      <c r="B135" s="70" t="s">
        <v>767</v>
      </c>
      <c r="C135" s="20" t="s">
        <v>336</v>
      </c>
      <c r="D135" s="8" t="s">
        <v>18</v>
      </c>
      <c r="E135" s="78">
        <f>'ANEXO A MC'!L231</f>
        <v>149.648</v>
      </c>
      <c r="F135" s="514" t="str">
        <f>F134</f>
        <v xml:space="preserve">DADOS RETIRADOS DO ANEXO III A MEMORIA DE CALCULO </v>
      </c>
      <c r="G135" s="514"/>
      <c r="H135" s="3"/>
    </row>
    <row r="136" spans="1:8" ht="33.6" customHeight="1" x14ac:dyDescent="0.25">
      <c r="A136" s="6" t="s">
        <v>178</v>
      </c>
      <c r="B136" s="70" t="s">
        <v>768</v>
      </c>
      <c r="C136" s="20" t="s">
        <v>337</v>
      </c>
      <c r="D136" s="8" t="s">
        <v>18</v>
      </c>
      <c r="E136" s="78">
        <f>'ANEXO A MC'!L231</f>
        <v>149.648</v>
      </c>
      <c r="F136" s="514" t="str">
        <f>F135</f>
        <v xml:space="preserve">DADOS RETIRADOS DO ANEXO III A MEMORIA DE CALCULO </v>
      </c>
      <c r="G136" s="514"/>
      <c r="H136" s="3"/>
    </row>
    <row r="137" spans="1:8" ht="33.6" customHeight="1" x14ac:dyDescent="0.25">
      <c r="A137" s="6" t="s">
        <v>179</v>
      </c>
      <c r="B137" s="70" t="s">
        <v>769</v>
      </c>
      <c r="C137" s="20" t="s">
        <v>247</v>
      </c>
      <c r="D137" s="8" t="s">
        <v>18</v>
      </c>
      <c r="E137" s="78">
        <f>(0.9*2.1*3)*2</f>
        <v>11.34</v>
      </c>
      <c r="F137" s="514" t="s">
        <v>623</v>
      </c>
      <c r="G137" s="514"/>
      <c r="H137" s="3"/>
    </row>
    <row r="138" spans="1:8" ht="33.6" customHeight="1" x14ac:dyDescent="0.25">
      <c r="A138" s="6" t="s">
        <v>338</v>
      </c>
      <c r="B138" s="70" t="s">
        <v>770</v>
      </c>
      <c r="C138" s="20" t="s">
        <v>248</v>
      </c>
      <c r="D138" s="8" t="s">
        <v>18</v>
      </c>
      <c r="E138" s="78">
        <f>E137</f>
        <v>11.34</v>
      </c>
      <c r="F138" s="514" t="str">
        <f>F137</f>
        <v>0,90 x 2,10 x 3,00) x 2,00 &gt; COMP. X LARG. X QUANT. X LADOS</v>
      </c>
      <c r="G138" s="514"/>
      <c r="H138" s="3"/>
    </row>
    <row r="139" spans="1:8" ht="33.6" customHeight="1" x14ac:dyDescent="0.25">
      <c r="A139" s="6" t="s">
        <v>339</v>
      </c>
      <c r="B139" s="70" t="s">
        <v>771</v>
      </c>
      <c r="C139" s="20" t="s">
        <v>249</v>
      </c>
      <c r="D139" s="8" t="s">
        <v>18</v>
      </c>
      <c r="E139" s="78">
        <f>0.6*0.6*2</f>
        <v>0.72</v>
      </c>
      <c r="F139" s="514" t="s">
        <v>624</v>
      </c>
      <c r="G139" s="514"/>
      <c r="H139" s="3"/>
    </row>
    <row r="140" spans="1:8" s="21" customFormat="1" ht="19.95" customHeight="1" x14ac:dyDescent="0.25">
      <c r="A140" s="72">
        <v>14</v>
      </c>
      <c r="B140" s="73" t="s">
        <v>183</v>
      </c>
      <c r="C140" s="515" t="s">
        <v>625</v>
      </c>
      <c r="D140" s="516"/>
      <c r="E140" s="74"/>
      <c r="F140" s="517"/>
      <c r="G140" s="518"/>
    </row>
    <row r="141" spans="1:8" ht="33.6" customHeight="1" x14ac:dyDescent="0.25">
      <c r="A141" s="6" t="s">
        <v>180</v>
      </c>
      <c r="B141" s="70" t="s">
        <v>772</v>
      </c>
      <c r="C141" s="20" t="s">
        <v>182</v>
      </c>
      <c r="D141" s="8" t="s">
        <v>258</v>
      </c>
      <c r="E141" s="78">
        <v>7</v>
      </c>
      <c r="F141" s="514" t="s">
        <v>285</v>
      </c>
      <c r="G141" s="514"/>
      <c r="H141" s="3"/>
    </row>
    <row r="142" spans="1:8" ht="48" customHeight="1" x14ac:dyDescent="0.25">
      <c r="A142" s="6" t="s">
        <v>181</v>
      </c>
      <c r="B142" s="70" t="s">
        <v>773</v>
      </c>
      <c r="C142" s="20" t="s">
        <v>250</v>
      </c>
      <c r="D142" s="8" t="s">
        <v>258</v>
      </c>
      <c r="E142" s="78">
        <v>1</v>
      </c>
      <c r="F142" s="514" t="s">
        <v>637</v>
      </c>
      <c r="G142" s="514"/>
      <c r="H142" s="3"/>
    </row>
    <row r="143" spans="1:8" ht="48" customHeight="1" x14ac:dyDescent="0.25">
      <c r="A143" s="6" t="s">
        <v>626</v>
      </c>
      <c r="B143" s="70" t="s">
        <v>774</v>
      </c>
      <c r="C143" s="20" t="s">
        <v>251</v>
      </c>
      <c r="D143" s="8" t="s">
        <v>258</v>
      </c>
      <c r="E143" s="78">
        <v>1</v>
      </c>
      <c r="F143" s="514" t="s">
        <v>637</v>
      </c>
      <c r="G143" s="514"/>
      <c r="H143" s="3"/>
    </row>
    <row r="144" spans="1:8" ht="48" customHeight="1" x14ac:dyDescent="0.25">
      <c r="A144" s="6" t="s">
        <v>627</v>
      </c>
      <c r="B144" s="70" t="s">
        <v>775</v>
      </c>
      <c r="C144" s="20" t="s">
        <v>252</v>
      </c>
      <c r="D144" s="8" t="s">
        <v>258</v>
      </c>
      <c r="E144" s="78">
        <v>2</v>
      </c>
      <c r="F144" s="514" t="s">
        <v>636</v>
      </c>
      <c r="G144" s="514"/>
      <c r="H144" s="3"/>
    </row>
    <row r="145" spans="1:9" ht="33.6" customHeight="1" x14ac:dyDescent="0.25">
      <c r="A145" s="6" t="s">
        <v>628</v>
      </c>
      <c r="B145" s="70" t="s">
        <v>787</v>
      </c>
      <c r="C145" s="20" t="s">
        <v>633</v>
      </c>
      <c r="D145" s="8" t="s">
        <v>258</v>
      </c>
      <c r="E145" s="78">
        <v>1</v>
      </c>
      <c r="F145" s="514" t="s">
        <v>635</v>
      </c>
      <c r="G145" s="514"/>
      <c r="H145" s="3"/>
    </row>
    <row r="146" spans="1:9" ht="33.6" customHeight="1" x14ac:dyDescent="0.25">
      <c r="A146" s="6" t="s">
        <v>629</v>
      </c>
      <c r="B146" s="70" t="s">
        <v>776</v>
      </c>
      <c r="C146" s="20" t="s">
        <v>191</v>
      </c>
      <c r="D146" s="8" t="s">
        <v>258</v>
      </c>
      <c r="E146" s="78">
        <v>6</v>
      </c>
      <c r="F146" s="514" t="s">
        <v>641</v>
      </c>
      <c r="G146" s="514"/>
      <c r="H146" s="3"/>
    </row>
    <row r="147" spans="1:9" ht="33.6" customHeight="1" x14ac:dyDescent="0.25">
      <c r="A147" s="6" t="s">
        <v>630</v>
      </c>
      <c r="B147" s="199" t="s">
        <v>638</v>
      </c>
      <c r="C147" s="20" t="s">
        <v>639</v>
      </c>
      <c r="D147" s="8" t="s">
        <v>258</v>
      </c>
      <c r="E147" s="78">
        <v>1</v>
      </c>
      <c r="F147" s="514" t="s">
        <v>640</v>
      </c>
      <c r="G147" s="514"/>
      <c r="H147" s="3"/>
    </row>
    <row r="148" spans="1:9" ht="33.6" customHeight="1" x14ac:dyDescent="0.25">
      <c r="A148" s="6" t="s">
        <v>631</v>
      </c>
      <c r="B148" s="70" t="s">
        <v>777</v>
      </c>
      <c r="C148" s="20" t="s">
        <v>192</v>
      </c>
      <c r="D148" s="8" t="s">
        <v>258</v>
      </c>
      <c r="E148" s="78">
        <v>7</v>
      </c>
      <c r="F148" s="514" t="s">
        <v>285</v>
      </c>
      <c r="G148" s="514"/>
      <c r="H148" s="3"/>
    </row>
    <row r="149" spans="1:9" ht="55.05" customHeight="1" x14ac:dyDescent="0.25">
      <c r="A149" s="6" t="s">
        <v>632</v>
      </c>
      <c r="B149" s="70" t="s">
        <v>778</v>
      </c>
      <c r="C149" s="20" t="s">
        <v>193</v>
      </c>
      <c r="D149" s="8" t="s">
        <v>258</v>
      </c>
      <c r="E149" s="78">
        <v>13</v>
      </c>
      <c r="F149" s="514" t="s">
        <v>289</v>
      </c>
      <c r="G149" s="514"/>
      <c r="H149" s="3"/>
    </row>
    <row r="150" spans="1:9" ht="55.05" customHeight="1" x14ac:dyDescent="0.25">
      <c r="A150" s="6" t="s">
        <v>634</v>
      </c>
      <c r="B150" s="70" t="s">
        <v>779</v>
      </c>
      <c r="C150" s="20" t="s">
        <v>253</v>
      </c>
      <c r="D150" s="8" t="s">
        <v>258</v>
      </c>
      <c r="E150" s="78">
        <v>15</v>
      </c>
      <c r="F150" s="514" t="s">
        <v>290</v>
      </c>
      <c r="G150" s="514"/>
      <c r="H150" s="3"/>
    </row>
    <row r="151" spans="1:9" ht="55.05" customHeight="1" x14ac:dyDescent="0.25">
      <c r="A151" s="6" t="s">
        <v>642</v>
      </c>
      <c r="B151" s="70" t="s">
        <v>643</v>
      </c>
      <c r="C151" s="20" t="s">
        <v>644</v>
      </c>
      <c r="D151" s="8" t="s">
        <v>258</v>
      </c>
      <c r="E151" s="78">
        <v>13</v>
      </c>
      <c r="F151" s="514" t="s">
        <v>289</v>
      </c>
      <c r="G151" s="514"/>
      <c r="H151" s="3"/>
    </row>
    <row r="152" spans="1:9" s="21" customFormat="1" ht="19.95" customHeight="1" x14ac:dyDescent="0.25">
      <c r="A152" s="72">
        <v>15</v>
      </c>
      <c r="B152" s="73" t="s">
        <v>194</v>
      </c>
      <c r="C152" s="515" t="s">
        <v>195</v>
      </c>
      <c r="D152" s="516"/>
      <c r="E152" s="74"/>
      <c r="F152" s="517"/>
      <c r="G152" s="518"/>
    </row>
    <row r="153" spans="1:9" s="321" customFormat="1" ht="27" customHeight="1" x14ac:dyDescent="0.25">
      <c r="A153" s="386" t="s">
        <v>184</v>
      </c>
      <c r="B153" s="387" t="str">
        <f>'Planilha Orcamentaria'!B161</f>
        <v>ED-50193</v>
      </c>
      <c r="C153" s="388" t="str">
        <f>'Planilha Orcamentaria'!C161</f>
        <v>EXTINTOR DE INCÊNDIO TIPO PÓ QUÍMICO 2-A:20-B:C, CAPACIDADE 6 KG</v>
      </c>
      <c r="D153" s="389" t="str">
        <f>'Planilha Orcamentaria'!D161</f>
        <v>UNID.</v>
      </c>
      <c r="E153" s="394">
        <f>'Planilha Orcamentaria'!E161</f>
        <v>1</v>
      </c>
      <c r="F153" s="514" t="s">
        <v>848</v>
      </c>
      <c r="G153" s="514"/>
      <c r="I153" s="322"/>
    </row>
    <row r="154" spans="1:9" s="321" customFormat="1" ht="25.5" customHeight="1" x14ac:dyDescent="0.25">
      <c r="A154" s="386" t="s">
        <v>185</v>
      </c>
      <c r="B154" s="387" t="str">
        <f>'Planilha Orcamentaria'!B162</f>
        <v>ED-50194</v>
      </c>
      <c r="C154" s="388" t="str">
        <f>'Planilha Orcamentaria'!C162</f>
        <v>BASE DECORATIVA PARA EXTINTORES</v>
      </c>
      <c r="D154" s="389" t="str">
        <f>'Planilha Orcamentaria'!D162</f>
        <v>UNID.</v>
      </c>
      <c r="E154" s="394">
        <f>'Planilha Orcamentaria'!E162</f>
        <v>1</v>
      </c>
      <c r="F154" s="514" t="s">
        <v>848</v>
      </c>
      <c r="G154" s="514"/>
      <c r="I154" s="322"/>
    </row>
    <row r="155" spans="1:9" s="321" customFormat="1" ht="25.5" customHeight="1" x14ac:dyDescent="0.25">
      <c r="A155" s="386" t="s">
        <v>186</v>
      </c>
      <c r="B155" s="387" t="str">
        <f>'Planilha Orcamentaria'!B163</f>
        <v>COMP. 04</v>
      </c>
      <c r="C155" s="388" t="str">
        <f>'Planilha Orcamentaria'!C163</f>
        <v>PLACA FOTOLUMINESCENTE "M1"  ((INDICAÇÃO DOS SISTEMAS DE PROTEÇÃO - CONFORME PROJETO) - INSTALADA</v>
      </c>
      <c r="D155" s="389" t="str">
        <f>'Planilha Orcamentaria'!D163</f>
        <v>UNID.</v>
      </c>
      <c r="E155" s="394">
        <f>'Planilha Orcamentaria'!E163</f>
        <v>1</v>
      </c>
      <c r="F155" s="514" t="s">
        <v>848</v>
      </c>
      <c r="G155" s="514"/>
      <c r="I155" s="322"/>
    </row>
    <row r="156" spans="1:9" s="321" customFormat="1" ht="25.5" customHeight="1" x14ac:dyDescent="0.25">
      <c r="A156" s="386" t="s">
        <v>187</v>
      </c>
      <c r="B156" s="387" t="str">
        <f>'Planilha Orcamentaria'!B164</f>
        <v>COMP. 05</v>
      </c>
      <c r="C156" s="388" t="str">
        <f>'Planilha Orcamentaria'!C164</f>
        <v>PLACA "M7"  ((INDICAÇÃO DOS SISTEMAS DE PROTEÇÃO - CONFORME PROJETO) - INSTALADA</v>
      </c>
      <c r="D156" s="389" t="str">
        <f>'Planilha Orcamentaria'!D164</f>
        <v>UNID.</v>
      </c>
      <c r="E156" s="394">
        <f>'Planilha Orcamentaria'!E164</f>
        <v>1</v>
      </c>
      <c r="F156" s="514" t="s">
        <v>848</v>
      </c>
      <c r="G156" s="514"/>
      <c r="I156" s="322"/>
    </row>
    <row r="157" spans="1:9" s="321" customFormat="1" ht="25.5" customHeight="1" x14ac:dyDescent="0.25">
      <c r="A157" s="386" t="s">
        <v>188</v>
      </c>
      <c r="B157" s="387" t="str">
        <f>'Planilha Orcamentaria'!B165</f>
        <v xml:space="preserve">ED-50201 </v>
      </c>
      <c r="C157" s="388" t="str">
        <f>'Planilha Orcamentaria'!C165</f>
        <v>PLACA FOTOLUMINESCENTE "S1" OU "S2" OU ''S3''- 380 X 190 MM (SAÍDA - DIREITA-ESQUERDA)</v>
      </c>
      <c r="D157" s="389" t="str">
        <f>'Planilha Orcamentaria'!D165</f>
        <v>UNID.</v>
      </c>
      <c r="E157" s="394">
        <v>6</v>
      </c>
      <c r="F157" s="514" t="s">
        <v>850</v>
      </c>
      <c r="G157" s="514"/>
      <c r="I157" s="322"/>
    </row>
    <row r="158" spans="1:9" s="321" customFormat="1" ht="25.5" customHeight="1" x14ac:dyDescent="0.25">
      <c r="A158" s="386" t="s">
        <v>189</v>
      </c>
      <c r="B158" s="387" t="str">
        <f>'Planilha Orcamentaria'!B166</f>
        <v>COMP. 06</v>
      </c>
      <c r="C158" s="388" t="str">
        <f>'Planilha Orcamentaria'!C166</f>
        <v>APLICAÇÃO DE FAIXA/FITA ADESIVA EM SUPERFÍCIE PARA SINALIZAÇÃO, LARGURA DE 20CM - INSTALADA</v>
      </c>
      <c r="D158" s="389" t="str">
        <f>'Planilha Orcamentaria'!D166</f>
        <v>M</v>
      </c>
      <c r="E158" s="394">
        <f>'Planilha Orcamentaria'!E166</f>
        <v>2.4</v>
      </c>
      <c r="F158" s="514" t="s">
        <v>847</v>
      </c>
      <c r="G158" s="514"/>
      <c r="I158" s="322"/>
    </row>
    <row r="159" spans="1:9" s="321" customFormat="1" ht="25.5" customHeight="1" x14ac:dyDescent="0.25">
      <c r="A159" s="386" t="s">
        <v>190</v>
      </c>
      <c r="B159" s="387" t="str">
        <f>'Planilha Orcamentaria'!B167</f>
        <v>ED-50196</v>
      </c>
      <c r="C159" s="388" t="str">
        <f>'Planilha Orcamentaria'!C167</f>
        <v>LUMINÁRIA DE EMERGÊNCIA AUTÔNOMA IE-16 COM LÂMPADA DE 8 W</v>
      </c>
      <c r="D159" s="389" t="str">
        <f>'Planilha Orcamentaria'!D167</f>
        <v>UNID.</v>
      </c>
      <c r="E159" s="394">
        <f>'Planilha Orcamentaria'!E167</f>
        <v>2</v>
      </c>
      <c r="F159" s="514" t="s">
        <v>849</v>
      </c>
      <c r="G159" s="514"/>
      <c r="I159" s="322"/>
    </row>
    <row r="160" spans="1:9" s="21" customFormat="1" ht="19.95" customHeight="1" x14ac:dyDescent="0.25">
      <c r="A160" s="72">
        <v>16</v>
      </c>
      <c r="B160" s="73" t="s">
        <v>646</v>
      </c>
      <c r="C160" s="515" t="s">
        <v>645</v>
      </c>
      <c r="D160" s="516"/>
      <c r="E160" s="74"/>
      <c r="F160" s="517"/>
      <c r="G160" s="518"/>
    </row>
    <row r="161" spans="1:8" ht="55.05" customHeight="1" x14ac:dyDescent="0.25">
      <c r="A161" s="6" t="s">
        <v>196</v>
      </c>
      <c r="B161" s="70" t="s">
        <v>655</v>
      </c>
      <c r="C161" s="20" t="s">
        <v>656</v>
      </c>
      <c r="D161" s="8" t="s">
        <v>26</v>
      </c>
      <c r="E161" s="78">
        <f>(1.2*2)+(1.65*2)+(2.75*2)+(4.47*1)+(3.15*1)+(4.75*1)+(1.1*1)</f>
        <v>24.669999999999998</v>
      </c>
      <c r="F161" s="514" t="s">
        <v>658</v>
      </c>
      <c r="G161" s="514"/>
      <c r="H161" s="3"/>
    </row>
    <row r="162" spans="1:8" ht="33.6" customHeight="1" x14ac:dyDescent="0.25">
      <c r="A162" s="6" t="s">
        <v>197</v>
      </c>
      <c r="B162" s="70" t="s">
        <v>647</v>
      </c>
      <c r="C162" s="20" t="s">
        <v>648</v>
      </c>
      <c r="D162" s="8" t="s">
        <v>18</v>
      </c>
      <c r="E162" s="78">
        <f>(1.2*1.65*2)+(2.75*0.8*2)+(4.47*1.35)+(3.15*0.8)+(4.75*1)</f>
        <v>21.6645</v>
      </c>
      <c r="F162" s="514" t="s">
        <v>659</v>
      </c>
      <c r="G162" s="514"/>
      <c r="H162" s="3"/>
    </row>
    <row r="163" spans="1:8" ht="33.6" customHeight="1" x14ac:dyDescent="0.25">
      <c r="A163" s="6" t="s">
        <v>198</v>
      </c>
      <c r="B163" s="70" t="s">
        <v>649</v>
      </c>
      <c r="C163" s="20" t="s">
        <v>650</v>
      </c>
      <c r="D163" s="8" t="s">
        <v>258</v>
      </c>
      <c r="E163" s="78">
        <v>30</v>
      </c>
      <c r="F163" s="514" t="s">
        <v>804</v>
      </c>
      <c r="G163" s="514"/>
      <c r="H163" s="3"/>
    </row>
    <row r="164" spans="1:8" ht="27.6" customHeight="1" x14ac:dyDescent="0.25">
      <c r="A164" s="6" t="s">
        <v>199</v>
      </c>
      <c r="B164" s="70" t="s">
        <v>651</v>
      </c>
      <c r="C164" s="20" t="s">
        <v>652</v>
      </c>
      <c r="D164" s="8" t="s">
        <v>18</v>
      </c>
      <c r="E164" s="78">
        <v>16</v>
      </c>
      <c r="F164" s="514">
        <v>16</v>
      </c>
      <c r="G164" s="514"/>
      <c r="H164" s="3"/>
    </row>
    <row r="165" spans="1:8" ht="27.6" customHeight="1" x14ac:dyDescent="0.25">
      <c r="A165" s="6" t="s">
        <v>657</v>
      </c>
      <c r="B165" s="70" t="s">
        <v>653</v>
      </c>
      <c r="C165" s="20" t="s">
        <v>654</v>
      </c>
      <c r="D165" s="8" t="s">
        <v>258</v>
      </c>
      <c r="E165" s="78">
        <v>14</v>
      </c>
      <c r="F165" s="514" t="s">
        <v>681</v>
      </c>
      <c r="G165" s="514"/>
      <c r="H165" s="3"/>
    </row>
    <row r="166" spans="1:8" s="21" customFormat="1" ht="19.95" customHeight="1" x14ac:dyDescent="0.25">
      <c r="A166" s="72">
        <v>17</v>
      </c>
      <c r="B166" s="73" t="s">
        <v>646</v>
      </c>
      <c r="C166" s="515" t="s">
        <v>661</v>
      </c>
      <c r="D166" s="516"/>
      <c r="E166" s="74"/>
      <c r="F166" s="517"/>
      <c r="G166" s="518"/>
    </row>
    <row r="167" spans="1:8" ht="55.05" customHeight="1" x14ac:dyDescent="0.25">
      <c r="A167" s="6" t="s">
        <v>204</v>
      </c>
      <c r="B167" s="70" t="s">
        <v>663</v>
      </c>
      <c r="C167" s="20" t="s">
        <v>664</v>
      </c>
      <c r="D167" s="8" t="s">
        <v>258</v>
      </c>
      <c r="E167" s="78">
        <v>12</v>
      </c>
      <c r="F167" s="514" t="s">
        <v>672</v>
      </c>
      <c r="G167" s="514"/>
      <c r="H167" s="3"/>
    </row>
    <row r="168" spans="1:8" ht="33.6" customHeight="1" x14ac:dyDescent="0.25">
      <c r="A168" s="6" t="s">
        <v>662</v>
      </c>
      <c r="B168" s="70" t="s">
        <v>667</v>
      </c>
      <c r="C168" s="20" t="s">
        <v>668</v>
      </c>
      <c r="D168" s="8" t="s">
        <v>258</v>
      </c>
      <c r="E168" s="78">
        <v>1</v>
      </c>
      <c r="F168" s="514" t="s">
        <v>286</v>
      </c>
      <c r="G168" s="514"/>
      <c r="H168" s="3"/>
    </row>
    <row r="169" spans="1:8" ht="33.6" customHeight="1" x14ac:dyDescent="0.25">
      <c r="A169" s="6" t="s">
        <v>666</v>
      </c>
      <c r="B169" s="70" t="s">
        <v>669</v>
      </c>
      <c r="C169" s="20" t="s">
        <v>670</v>
      </c>
      <c r="D169" s="8" t="s">
        <v>671</v>
      </c>
      <c r="E169" s="78">
        <v>1</v>
      </c>
      <c r="F169" s="514" t="s">
        <v>805</v>
      </c>
      <c r="G169" s="514"/>
      <c r="H169" s="3"/>
    </row>
    <row r="170" spans="1:8" s="21" customFormat="1" ht="19.95" customHeight="1" x14ac:dyDescent="0.25">
      <c r="A170" s="72">
        <v>18</v>
      </c>
      <c r="B170" s="73" t="s">
        <v>202</v>
      </c>
      <c r="C170" s="515" t="s">
        <v>203</v>
      </c>
      <c r="D170" s="516"/>
      <c r="E170" s="74"/>
      <c r="F170" s="517"/>
      <c r="G170" s="518"/>
    </row>
    <row r="171" spans="1:8" ht="27.6" customHeight="1" x14ac:dyDescent="0.25">
      <c r="A171" s="6" t="s">
        <v>683</v>
      </c>
      <c r="B171" s="70" t="s">
        <v>783</v>
      </c>
      <c r="C171" s="20" t="s">
        <v>254</v>
      </c>
      <c r="D171" s="8" t="s">
        <v>18</v>
      </c>
      <c r="E171" s="78">
        <v>193.3</v>
      </c>
      <c r="F171" s="514" t="s">
        <v>287</v>
      </c>
      <c r="G171" s="514"/>
      <c r="H171" s="3"/>
    </row>
    <row r="172" spans="1:8" ht="12.75" customHeight="1" x14ac:dyDescent="0.25"/>
    <row r="173" spans="1:8" ht="12.75" customHeight="1" x14ac:dyDescent="0.25"/>
    <row r="174" spans="1:8" ht="12.75" customHeight="1" x14ac:dyDescent="0.25"/>
    <row r="175" spans="1:8" ht="12.75" customHeight="1" x14ac:dyDescent="0.25"/>
    <row r="176" spans="1:8"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row r="1001" ht="12.75" customHeight="1" x14ac:dyDescent="0.25"/>
    <row r="1002" ht="12.75" customHeight="1" x14ac:dyDescent="0.25"/>
    <row r="1003" ht="12.75" customHeight="1" x14ac:dyDescent="0.25"/>
    <row r="1004" ht="12.75" customHeight="1" x14ac:dyDescent="0.25"/>
    <row r="1005" ht="12.75" customHeight="1" x14ac:dyDescent="0.25"/>
    <row r="1006" ht="12.75" customHeight="1" x14ac:dyDescent="0.25"/>
    <row r="1007" ht="12.75" customHeight="1" x14ac:dyDescent="0.25"/>
    <row r="1008" ht="12.75" customHeight="1" x14ac:dyDescent="0.25"/>
    <row r="1009" ht="12.75" customHeight="1" x14ac:dyDescent="0.25"/>
    <row r="1010" ht="12.75" customHeight="1" x14ac:dyDescent="0.25"/>
    <row r="1011" ht="12.75" customHeight="1" x14ac:dyDescent="0.25"/>
    <row r="1012" ht="12.75" customHeight="1" x14ac:dyDescent="0.25"/>
    <row r="1013" ht="12.75" customHeight="1" x14ac:dyDescent="0.25"/>
    <row r="1014" ht="12.75" customHeight="1" x14ac:dyDescent="0.25"/>
    <row r="1015" ht="12.75" customHeight="1" x14ac:dyDescent="0.25"/>
    <row r="1016" ht="12.75" customHeight="1" x14ac:dyDescent="0.25"/>
    <row r="1017" ht="12.75" customHeight="1" x14ac:dyDescent="0.25"/>
    <row r="1018" ht="12.75" customHeight="1" x14ac:dyDescent="0.25"/>
    <row r="1019" ht="12.75" customHeight="1" x14ac:dyDescent="0.25"/>
    <row r="1020" ht="12.75" customHeight="1" x14ac:dyDescent="0.25"/>
    <row r="1021" ht="12.75" customHeight="1" x14ac:dyDescent="0.25"/>
    <row r="1022" ht="12.75" customHeight="1" x14ac:dyDescent="0.25"/>
    <row r="1023" ht="12.75" customHeight="1" x14ac:dyDescent="0.25"/>
    <row r="1024" ht="12.75" customHeight="1" x14ac:dyDescent="0.25"/>
    <row r="1025" ht="12.75" customHeight="1" x14ac:dyDescent="0.25"/>
    <row r="1026" ht="12.75" customHeight="1" x14ac:dyDescent="0.25"/>
    <row r="1027" ht="12.75" customHeight="1" x14ac:dyDescent="0.25"/>
    <row r="1028" ht="12.75" customHeight="1" x14ac:dyDescent="0.25"/>
    <row r="1029" ht="12.75" customHeight="1" x14ac:dyDescent="0.25"/>
    <row r="1030" ht="12.75" customHeight="1" x14ac:dyDescent="0.25"/>
    <row r="1031" ht="12.75" customHeight="1" x14ac:dyDescent="0.25"/>
    <row r="1032" ht="12.75" customHeight="1" x14ac:dyDescent="0.25"/>
    <row r="1033" ht="12.75" customHeight="1" x14ac:dyDescent="0.25"/>
    <row r="1034" ht="12.75" customHeight="1" x14ac:dyDescent="0.25"/>
    <row r="1035" ht="12.75" customHeight="1" x14ac:dyDescent="0.25"/>
    <row r="1036" ht="12.75" customHeight="1" x14ac:dyDescent="0.25"/>
    <row r="1037" ht="12.75" customHeight="1" x14ac:dyDescent="0.25"/>
    <row r="1038" ht="12.75" customHeight="1" x14ac:dyDescent="0.25"/>
    <row r="1039" ht="12.75" customHeight="1" x14ac:dyDescent="0.25"/>
    <row r="1040" ht="12.75" customHeight="1" x14ac:dyDescent="0.25"/>
    <row r="1041" ht="12.75" customHeight="1" x14ac:dyDescent="0.25"/>
    <row r="1042" ht="12.75" customHeight="1" x14ac:dyDescent="0.25"/>
    <row r="1043" ht="12.75" customHeight="1" x14ac:dyDescent="0.25"/>
    <row r="1044" ht="12.75" customHeight="1" x14ac:dyDescent="0.25"/>
    <row r="1045" ht="12.75" customHeight="1" x14ac:dyDescent="0.25"/>
    <row r="1046" ht="12.75" customHeight="1" x14ac:dyDescent="0.25"/>
    <row r="1047" ht="12.75" customHeight="1" x14ac:dyDescent="0.25"/>
    <row r="1048" ht="12.75" customHeight="1" x14ac:dyDescent="0.25"/>
    <row r="1049" ht="12.75" customHeight="1" x14ac:dyDescent="0.25"/>
    <row r="1050" ht="12.75" customHeight="1" x14ac:dyDescent="0.25"/>
    <row r="1051" ht="12.75" customHeight="1" x14ac:dyDescent="0.25"/>
    <row r="1052" ht="12.75" customHeight="1" x14ac:dyDescent="0.25"/>
    <row r="1053" ht="12.75" customHeight="1" x14ac:dyDescent="0.25"/>
    <row r="1054" ht="12.75" customHeight="1" x14ac:dyDescent="0.25"/>
    <row r="1055" ht="12.75" customHeight="1" x14ac:dyDescent="0.25"/>
    <row r="1056" ht="12.75" customHeight="1" x14ac:dyDescent="0.25"/>
    <row r="1057" ht="12.75" customHeight="1" x14ac:dyDescent="0.25"/>
    <row r="1058" ht="12.75" customHeight="1" x14ac:dyDescent="0.25"/>
    <row r="1059" ht="12.75" customHeight="1" x14ac:dyDescent="0.25"/>
    <row r="1060" ht="12.75" customHeight="1" x14ac:dyDescent="0.25"/>
    <row r="1061" ht="12.75" customHeight="1" x14ac:dyDescent="0.25"/>
    <row r="1062" ht="12.75" customHeight="1" x14ac:dyDescent="0.25"/>
    <row r="1063" ht="12.75" customHeight="1" x14ac:dyDescent="0.25"/>
    <row r="1064" ht="12.75" customHeight="1" x14ac:dyDescent="0.25"/>
    <row r="1065" ht="12.75" customHeight="1" x14ac:dyDescent="0.25"/>
    <row r="1066" ht="12.75" customHeight="1" x14ac:dyDescent="0.25"/>
    <row r="1067" ht="12.75" customHeight="1" x14ac:dyDescent="0.25"/>
    <row r="1068" ht="12.75" customHeight="1" x14ac:dyDescent="0.25"/>
    <row r="1069" ht="12.75" customHeight="1" x14ac:dyDescent="0.25"/>
    <row r="1070" ht="12.75" customHeight="1" x14ac:dyDescent="0.25"/>
    <row r="1071" ht="12.75" customHeight="1" x14ac:dyDescent="0.25"/>
    <row r="1072" ht="12.75" customHeight="1" x14ac:dyDescent="0.25"/>
    <row r="1073" ht="12.75" customHeight="1" x14ac:dyDescent="0.25"/>
    <row r="1074" ht="12.75" customHeight="1" x14ac:dyDescent="0.25"/>
    <row r="1075" ht="12.75" customHeight="1" x14ac:dyDescent="0.25"/>
    <row r="1076" ht="12.75" customHeight="1" x14ac:dyDescent="0.25"/>
    <row r="1077" ht="12.75" customHeight="1" x14ac:dyDescent="0.25"/>
    <row r="1078" ht="12.75" customHeight="1" x14ac:dyDescent="0.25"/>
    <row r="1079" ht="12.75" customHeight="1" x14ac:dyDescent="0.25"/>
    <row r="1080" ht="12.75" customHeight="1" x14ac:dyDescent="0.25"/>
    <row r="1081" ht="12.75" customHeight="1" x14ac:dyDescent="0.25"/>
    <row r="1082" ht="12.75" customHeight="1" x14ac:dyDescent="0.25"/>
    <row r="1083" ht="12.75" customHeight="1" x14ac:dyDescent="0.25"/>
    <row r="1084" ht="12.75" customHeight="1" x14ac:dyDescent="0.25"/>
    <row r="1085" ht="12.75" customHeight="1" x14ac:dyDescent="0.25"/>
    <row r="1086" ht="12.75" customHeight="1" x14ac:dyDescent="0.25"/>
    <row r="1087" ht="12.75" customHeight="1" x14ac:dyDescent="0.25"/>
    <row r="1088" ht="12.75" customHeight="1" x14ac:dyDescent="0.25"/>
    <row r="1089" ht="12.75" customHeight="1" x14ac:dyDescent="0.25"/>
    <row r="1090" ht="12.75" customHeight="1" x14ac:dyDescent="0.25"/>
    <row r="1091" ht="12.75" customHeight="1" x14ac:dyDescent="0.25"/>
    <row r="1092" ht="12.75" customHeight="1" x14ac:dyDescent="0.25"/>
    <row r="1093" ht="12.75" customHeight="1" x14ac:dyDescent="0.25"/>
    <row r="1094" ht="12.75" customHeight="1" x14ac:dyDescent="0.25"/>
    <row r="1095" ht="12.75" customHeight="1" x14ac:dyDescent="0.25"/>
    <row r="1096" ht="12.75" customHeight="1" x14ac:dyDescent="0.25"/>
    <row r="1097" ht="12.75" customHeight="1" x14ac:dyDescent="0.25"/>
    <row r="1098" ht="12.75" customHeight="1" x14ac:dyDescent="0.25"/>
    <row r="1099" ht="12.75" customHeight="1" x14ac:dyDescent="0.25"/>
    <row r="1100" ht="12.75" customHeight="1" x14ac:dyDescent="0.25"/>
    <row r="1101" ht="12.75" customHeight="1" x14ac:dyDescent="0.25"/>
    <row r="1102" ht="12.75" customHeight="1" x14ac:dyDescent="0.25"/>
    <row r="1103" ht="12.75" customHeight="1" x14ac:dyDescent="0.25"/>
    <row r="1104" ht="12.75" customHeight="1" x14ac:dyDescent="0.25"/>
    <row r="1105" ht="12.75" customHeight="1" x14ac:dyDescent="0.25"/>
    <row r="1106" ht="12.75" customHeight="1" x14ac:dyDescent="0.25"/>
    <row r="1107" ht="12.75" customHeight="1" x14ac:dyDescent="0.25"/>
    <row r="1108" ht="12.75" customHeight="1" x14ac:dyDescent="0.25"/>
    <row r="1109" ht="12.75" customHeight="1" x14ac:dyDescent="0.25"/>
    <row r="1110" ht="12.75" customHeight="1" x14ac:dyDescent="0.25"/>
    <row r="1111" ht="12.75" customHeight="1" x14ac:dyDescent="0.25"/>
    <row r="1112" ht="12.75" customHeight="1" x14ac:dyDescent="0.25"/>
  </sheetData>
  <mergeCells count="192">
    <mergeCell ref="C166:D166"/>
    <mergeCell ref="F166:G166"/>
    <mergeCell ref="F167:G167"/>
    <mergeCell ref="F168:G168"/>
    <mergeCell ref="F42:G42"/>
    <mergeCell ref="F122:G122"/>
    <mergeCell ref="F116:G116"/>
    <mergeCell ref="F120:G120"/>
    <mergeCell ref="F130:G130"/>
    <mergeCell ref="F141:G141"/>
    <mergeCell ref="F145:G145"/>
    <mergeCell ref="F147:G147"/>
    <mergeCell ref="C160:D160"/>
    <mergeCell ref="F160:G160"/>
    <mergeCell ref="F161:G161"/>
    <mergeCell ref="F162:G162"/>
    <mergeCell ref="F156:G156"/>
    <mergeCell ref="F158:G158"/>
    <mergeCell ref="F157:G157"/>
    <mergeCell ref="F159:G159"/>
    <mergeCell ref="C106:D106"/>
    <mergeCell ref="F106:G106"/>
    <mergeCell ref="C108:D108"/>
    <mergeCell ref="F131:G131"/>
    <mergeCell ref="I29:J29"/>
    <mergeCell ref="I30:J30"/>
    <mergeCell ref="F33:G33"/>
    <mergeCell ref="I26:J26"/>
    <mergeCell ref="A1:G1"/>
    <mergeCell ref="A2:G2"/>
    <mergeCell ref="A3:G3"/>
    <mergeCell ref="A4:G4"/>
    <mergeCell ref="F5:G5"/>
    <mergeCell ref="C6:D6"/>
    <mergeCell ref="F7:G7"/>
    <mergeCell ref="F8:G8"/>
    <mergeCell ref="F9:G9"/>
    <mergeCell ref="F6:G6"/>
    <mergeCell ref="F10:G10"/>
    <mergeCell ref="F13:G13"/>
    <mergeCell ref="F12:G12"/>
    <mergeCell ref="F11:G11"/>
    <mergeCell ref="C18:D18"/>
    <mergeCell ref="F18:G18"/>
    <mergeCell ref="C14:D14"/>
    <mergeCell ref="F14:G14"/>
    <mergeCell ref="F15:G15"/>
    <mergeCell ref="F16:G16"/>
    <mergeCell ref="F24:G24"/>
    <mergeCell ref="F26:G26"/>
    <mergeCell ref="F27:G27"/>
    <mergeCell ref="F25:G25"/>
    <mergeCell ref="C28:D28"/>
    <mergeCell ref="F28:G28"/>
    <mergeCell ref="F17:G17"/>
    <mergeCell ref="F20:G20"/>
    <mergeCell ref="F21:G21"/>
    <mergeCell ref="F22:G22"/>
    <mergeCell ref="C23:D23"/>
    <mergeCell ref="F23:G23"/>
    <mergeCell ref="F19:G19"/>
    <mergeCell ref="C35:D35"/>
    <mergeCell ref="F35:G35"/>
    <mergeCell ref="C45:D45"/>
    <mergeCell ref="F45:G45"/>
    <mergeCell ref="C73:D73"/>
    <mergeCell ref="F73:G73"/>
    <mergeCell ref="F39:G39"/>
    <mergeCell ref="F40:G40"/>
    <mergeCell ref="F41:G41"/>
    <mergeCell ref="F44:G44"/>
    <mergeCell ref="F43:G43"/>
    <mergeCell ref="F58:G58"/>
    <mergeCell ref="F59:G59"/>
    <mergeCell ref="F60:G60"/>
    <mergeCell ref="F61:G61"/>
    <mergeCell ref="F62:G62"/>
    <mergeCell ref="F55:G55"/>
    <mergeCell ref="F38:G38"/>
    <mergeCell ref="F46:G46"/>
    <mergeCell ref="F47:G47"/>
    <mergeCell ref="F65:G65"/>
    <mergeCell ref="F63:G63"/>
    <mergeCell ref="F48:G48"/>
    <mergeCell ref="F49:G49"/>
    <mergeCell ref="F108:G108"/>
    <mergeCell ref="C117:D117"/>
    <mergeCell ref="F117:G117"/>
    <mergeCell ref="F107:G107"/>
    <mergeCell ref="F109:G109"/>
    <mergeCell ref="F110:G110"/>
    <mergeCell ref="F112:G112"/>
    <mergeCell ref="F114:G114"/>
    <mergeCell ref="F113:G113"/>
    <mergeCell ref="F115:G115"/>
    <mergeCell ref="F111:G111"/>
    <mergeCell ref="C140:D140"/>
    <mergeCell ref="F140:G140"/>
    <mergeCell ref="C152:D152"/>
    <mergeCell ref="F152:G152"/>
    <mergeCell ref="C123:D123"/>
    <mergeCell ref="F123:G123"/>
    <mergeCell ref="C132:D132"/>
    <mergeCell ref="F132:G132"/>
    <mergeCell ref="F126:G126"/>
    <mergeCell ref="F127:G127"/>
    <mergeCell ref="F128:G128"/>
    <mergeCell ref="F129:G129"/>
    <mergeCell ref="F135:G135"/>
    <mergeCell ref="C170:D170"/>
    <mergeCell ref="F170:G170"/>
    <mergeCell ref="F148:G148"/>
    <mergeCell ref="F149:G149"/>
    <mergeCell ref="F150:G150"/>
    <mergeCell ref="F163:G163"/>
    <mergeCell ref="F165:G165"/>
    <mergeCell ref="F164:G164"/>
    <mergeCell ref="F29:G29"/>
    <mergeCell ref="F30:G30"/>
    <mergeCell ref="F31:G31"/>
    <mergeCell ref="F34:G34"/>
    <mergeCell ref="F36:G36"/>
    <mergeCell ref="F37:G37"/>
    <mergeCell ref="F52:G52"/>
    <mergeCell ref="F53:G53"/>
    <mergeCell ref="F54:G54"/>
    <mergeCell ref="F51:G51"/>
    <mergeCell ref="F32:G32"/>
    <mergeCell ref="F89:G89"/>
    <mergeCell ref="F93:G93"/>
    <mergeCell ref="F94:G94"/>
    <mergeCell ref="F95:G95"/>
    <mergeCell ref="F97:G97"/>
    <mergeCell ref="F50:G50"/>
    <mergeCell ref="F98:G98"/>
    <mergeCell ref="F56:G56"/>
    <mergeCell ref="F64:G64"/>
    <mergeCell ref="F71:G71"/>
    <mergeCell ref="F72:G72"/>
    <mergeCell ref="F69:G69"/>
    <mergeCell ref="F68:G68"/>
    <mergeCell ref="F70:G70"/>
    <mergeCell ref="F67:G67"/>
    <mergeCell ref="F57:G57"/>
    <mergeCell ref="F66:G66"/>
    <mergeCell ref="F90:G90"/>
    <mergeCell ref="F91:G91"/>
    <mergeCell ref="F92:G92"/>
    <mergeCell ref="F96:G96"/>
    <mergeCell ref="F171:G171"/>
    <mergeCell ref="F142:G142"/>
    <mergeCell ref="F143:G143"/>
    <mergeCell ref="F144:G144"/>
    <mergeCell ref="F146:G146"/>
    <mergeCell ref="F118:G118"/>
    <mergeCell ref="F119:G119"/>
    <mergeCell ref="F121:G121"/>
    <mergeCell ref="F124:G124"/>
    <mergeCell ref="F125:G125"/>
    <mergeCell ref="F151:G151"/>
    <mergeCell ref="F153:G153"/>
    <mergeCell ref="F154:G154"/>
    <mergeCell ref="F155:G155"/>
    <mergeCell ref="F136:G136"/>
    <mergeCell ref="F133:G133"/>
    <mergeCell ref="F134:G134"/>
    <mergeCell ref="F137:G137"/>
    <mergeCell ref="F138:G138"/>
    <mergeCell ref="F139:G139"/>
    <mergeCell ref="F169:G169"/>
    <mergeCell ref="F105:G105"/>
    <mergeCell ref="F74:G74"/>
    <mergeCell ref="F75:G75"/>
    <mergeCell ref="F76:G76"/>
    <mergeCell ref="F79:G79"/>
    <mergeCell ref="F77:G77"/>
    <mergeCell ref="F78:G78"/>
    <mergeCell ref="F87:G87"/>
    <mergeCell ref="F88:G88"/>
    <mergeCell ref="F85:G85"/>
    <mergeCell ref="F86:G86"/>
    <mergeCell ref="F80:G80"/>
    <mergeCell ref="F81:G81"/>
    <mergeCell ref="F83:G83"/>
    <mergeCell ref="F84:G84"/>
    <mergeCell ref="F103:G103"/>
    <mergeCell ref="F104:G104"/>
    <mergeCell ref="F100:G100"/>
    <mergeCell ref="F99:G99"/>
    <mergeCell ref="F101:G101"/>
    <mergeCell ref="F102:G102"/>
    <mergeCell ref="F82:G82"/>
  </mergeCells>
  <printOptions horizontalCentered="1"/>
  <pageMargins left="0.39370078740157483" right="0" top="0.35433070866141736" bottom="0" header="0" footer="0"/>
  <pageSetup scale="74" orientation="landscape" r:id="rId1"/>
  <rowBreaks count="5" manualBreakCount="5">
    <brk id="27" max="6" man="1"/>
    <brk id="88" max="6" man="1"/>
    <brk id="114" max="6" man="1"/>
    <brk id="139" max="6" man="1"/>
    <brk id="15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1"/>
  <sheetViews>
    <sheetView showGridLines="0" tabSelected="1" view="pageBreakPreview" topLeftCell="A168" zoomScale="115" zoomScaleNormal="115" zoomScaleSheetLayoutView="115" workbookViewId="0">
      <selection activeCell="G39" sqref="G39"/>
    </sheetView>
  </sheetViews>
  <sheetFormatPr defaultColWidth="14.44140625" defaultRowHeight="15" customHeight="1" x14ac:dyDescent="0.25"/>
  <cols>
    <col min="1" max="1" width="5.44140625" customWidth="1"/>
    <col min="2" max="2" width="11.88671875" customWidth="1"/>
    <col min="3" max="3" width="53.109375" customWidth="1"/>
    <col min="4" max="4" width="9.109375" customWidth="1"/>
    <col min="5" max="5" width="12.33203125" customWidth="1"/>
    <col min="6" max="8" width="12.33203125" style="277" customWidth="1"/>
    <col min="9" max="9" width="49.6640625" customWidth="1"/>
    <col min="10" max="10" width="9.5546875" customWidth="1"/>
    <col min="11" max="26" width="8" customWidth="1"/>
  </cols>
  <sheetData>
    <row r="1" spans="1:26" ht="70.5" customHeight="1" x14ac:dyDescent="0.25">
      <c r="A1" s="588"/>
      <c r="B1" s="589"/>
      <c r="C1" s="590"/>
      <c r="D1" s="589"/>
      <c r="E1" s="589"/>
      <c r="F1" s="589"/>
      <c r="G1" s="589"/>
      <c r="H1" s="591"/>
      <c r="I1" s="1"/>
      <c r="J1" s="1"/>
      <c r="K1" s="1"/>
      <c r="L1" s="1"/>
      <c r="M1" s="1"/>
      <c r="N1" s="1"/>
      <c r="O1" s="1"/>
      <c r="P1" s="1"/>
      <c r="Q1" s="1"/>
      <c r="R1" s="1"/>
      <c r="S1" s="1"/>
      <c r="T1" s="1"/>
      <c r="U1" s="1"/>
      <c r="V1" s="1"/>
      <c r="W1" s="1"/>
      <c r="X1" s="1"/>
      <c r="Y1" s="1"/>
      <c r="Z1" s="1"/>
    </row>
    <row r="2" spans="1:26" ht="3.75" customHeight="1" thickBot="1" x14ac:dyDescent="0.3">
      <c r="A2" s="592"/>
      <c r="B2" s="544"/>
      <c r="C2" s="544"/>
      <c r="D2" s="544"/>
      <c r="E2" s="544"/>
      <c r="F2" s="544"/>
      <c r="G2" s="544"/>
      <c r="H2" s="593"/>
      <c r="I2" s="1"/>
      <c r="J2" s="1"/>
      <c r="K2" s="1"/>
      <c r="L2" s="1"/>
      <c r="M2" s="1"/>
      <c r="N2" s="1"/>
      <c r="O2" s="1"/>
      <c r="P2" s="1"/>
      <c r="Q2" s="1"/>
      <c r="R2" s="1"/>
      <c r="S2" s="1"/>
      <c r="T2" s="1"/>
      <c r="U2" s="1"/>
      <c r="V2" s="1"/>
      <c r="W2" s="1"/>
      <c r="X2" s="1"/>
      <c r="Y2" s="1"/>
      <c r="Z2" s="1"/>
    </row>
    <row r="3" spans="1:26" s="4" customFormat="1" ht="16.5" customHeight="1" thickBot="1" x14ac:dyDescent="0.3">
      <c r="A3" s="594" t="s">
        <v>27</v>
      </c>
      <c r="B3" s="550"/>
      <c r="C3" s="550"/>
      <c r="D3" s="550"/>
      <c r="E3" s="550"/>
      <c r="F3" s="550"/>
      <c r="G3" s="550"/>
      <c r="H3" s="595"/>
    </row>
    <row r="4" spans="1:26" ht="19.5" customHeight="1" thickBot="1" x14ac:dyDescent="0.3">
      <c r="A4" s="596" t="s">
        <v>0</v>
      </c>
      <c r="B4" s="545"/>
      <c r="C4" s="545"/>
      <c r="D4" s="545"/>
      <c r="E4" s="545"/>
      <c r="F4" s="545"/>
      <c r="G4" s="545"/>
      <c r="H4" s="597"/>
      <c r="I4" s="1"/>
      <c r="J4" s="1"/>
      <c r="K4" s="1"/>
      <c r="L4" s="1"/>
      <c r="M4" s="1"/>
      <c r="N4" s="1"/>
      <c r="O4" s="1"/>
      <c r="P4" s="1"/>
      <c r="Q4" s="1"/>
      <c r="R4" s="1"/>
      <c r="S4" s="1"/>
      <c r="T4" s="1"/>
      <c r="U4" s="1"/>
      <c r="V4" s="1"/>
      <c r="W4" s="1"/>
      <c r="X4" s="1"/>
      <c r="Y4" s="1"/>
      <c r="Z4" s="1"/>
    </row>
    <row r="5" spans="1:26" ht="3.75" customHeight="1" thickBot="1" x14ac:dyDescent="0.3">
      <c r="A5" s="598"/>
      <c r="B5" s="2"/>
      <c r="C5" s="2"/>
      <c r="D5" s="2"/>
      <c r="E5" s="2"/>
      <c r="F5" s="270"/>
      <c r="G5" s="270"/>
      <c r="H5" s="599"/>
      <c r="I5" s="1"/>
      <c r="J5" s="1"/>
      <c r="K5" s="1"/>
      <c r="L5" s="1"/>
      <c r="M5" s="1"/>
      <c r="N5" s="1"/>
      <c r="O5" s="1"/>
      <c r="P5" s="1"/>
      <c r="Q5" s="1"/>
      <c r="R5" s="1"/>
      <c r="S5" s="1"/>
      <c r="T5" s="1"/>
      <c r="U5" s="1"/>
      <c r="V5" s="1"/>
      <c r="W5" s="1"/>
      <c r="X5" s="1"/>
      <c r="Y5" s="1"/>
      <c r="Z5" s="1"/>
    </row>
    <row r="6" spans="1:26" ht="19.5" customHeight="1" x14ac:dyDescent="0.25">
      <c r="A6" s="600" t="s">
        <v>28</v>
      </c>
      <c r="B6" s="546"/>
      <c r="C6" s="546"/>
      <c r="D6" s="546"/>
      <c r="E6" s="547"/>
      <c r="F6" s="548" t="s">
        <v>29</v>
      </c>
      <c r="G6" s="549"/>
      <c r="H6" s="601"/>
      <c r="I6" s="1"/>
      <c r="J6" s="1"/>
      <c r="K6" s="1"/>
      <c r="L6" s="1"/>
      <c r="M6" s="1"/>
      <c r="N6" s="1"/>
      <c r="O6" s="1"/>
      <c r="P6" s="1"/>
      <c r="Q6" s="1"/>
      <c r="R6" s="1"/>
      <c r="S6" s="1"/>
      <c r="T6" s="1"/>
      <c r="U6" s="1"/>
      <c r="V6" s="1"/>
      <c r="W6" s="1"/>
      <c r="X6" s="1"/>
      <c r="Y6" s="1"/>
      <c r="Z6" s="1"/>
    </row>
    <row r="7" spans="1:26" ht="19.5" customHeight="1" x14ac:dyDescent="0.25">
      <c r="A7" s="602" t="s">
        <v>30</v>
      </c>
      <c r="B7" s="531"/>
      <c r="C7" s="531"/>
      <c r="D7" s="531"/>
      <c r="E7" s="532"/>
      <c r="F7" s="538" t="s">
        <v>851</v>
      </c>
      <c r="G7" s="539"/>
      <c r="H7" s="603"/>
      <c r="I7" s="1"/>
      <c r="J7" s="1"/>
      <c r="K7" s="1"/>
      <c r="L7" s="1"/>
      <c r="M7" s="1"/>
      <c r="N7" s="1"/>
      <c r="O7" s="1"/>
      <c r="P7" s="1"/>
      <c r="Q7" s="1"/>
      <c r="R7" s="1"/>
      <c r="S7" s="1"/>
      <c r="T7" s="1"/>
      <c r="U7" s="1"/>
      <c r="V7" s="1"/>
      <c r="W7" s="1"/>
      <c r="X7" s="1"/>
      <c r="Y7" s="1"/>
      <c r="Z7" s="1"/>
    </row>
    <row r="8" spans="1:26" ht="18" customHeight="1" x14ac:dyDescent="0.25">
      <c r="A8" s="604" t="s">
        <v>685</v>
      </c>
      <c r="B8" s="537"/>
      <c r="C8" s="537"/>
      <c r="D8" s="537"/>
      <c r="E8" s="537"/>
      <c r="F8" s="538" t="s">
        <v>31</v>
      </c>
      <c r="G8" s="539"/>
      <c r="H8" s="603"/>
      <c r="I8" s="1"/>
      <c r="J8" s="1"/>
      <c r="K8" s="1"/>
      <c r="L8" s="1"/>
      <c r="M8" s="1"/>
      <c r="N8" s="1"/>
      <c r="O8" s="1"/>
      <c r="P8" s="1"/>
      <c r="Q8" s="1"/>
      <c r="R8" s="1"/>
      <c r="S8" s="1"/>
      <c r="T8" s="1"/>
      <c r="U8" s="1"/>
      <c r="V8" s="1"/>
      <c r="W8" s="1"/>
      <c r="X8" s="1"/>
      <c r="Y8" s="1"/>
      <c r="Z8" s="1"/>
    </row>
    <row r="9" spans="1:26" ht="42.6" customHeight="1" x14ac:dyDescent="0.25">
      <c r="A9" s="605" t="s">
        <v>797</v>
      </c>
      <c r="B9" s="533"/>
      <c r="C9" s="533"/>
      <c r="D9" s="534"/>
      <c r="E9" s="535" t="s">
        <v>32</v>
      </c>
      <c r="F9" s="536"/>
      <c r="G9" s="536"/>
      <c r="H9" s="606"/>
      <c r="I9" s="1"/>
      <c r="J9" s="1"/>
      <c r="K9" s="1"/>
      <c r="L9" s="1"/>
      <c r="M9" s="1"/>
      <c r="N9" s="1"/>
      <c r="O9" s="1"/>
      <c r="P9" s="1"/>
      <c r="Q9" s="1"/>
      <c r="R9" s="1"/>
      <c r="S9" s="1"/>
      <c r="T9" s="1"/>
      <c r="U9" s="1"/>
      <c r="V9" s="1"/>
      <c r="W9" s="1"/>
      <c r="X9" s="1"/>
      <c r="Y9" s="1"/>
      <c r="Z9" s="1"/>
    </row>
    <row r="10" spans="1:26" s="4" customFormat="1" ht="19.5" customHeight="1" x14ac:dyDescent="0.25">
      <c r="A10" s="607" t="s">
        <v>686</v>
      </c>
      <c r="B10" s="540"/>
      <c r="C10" s="540"/>
      <c r="D10" s="541"/>
      <c r="E10" s="337" t="s">
        <v>1</v>
      </c>
      <c r="F10" s="336" t="s">
        <v>2</v>
      </c>
      <c r="G10" s="271" t="s">
        <v>3</v>
      </c>
      <c r="H10" s="608" t="s">
        <v>4</v>
      </c>
    </row>
    <row r="11" spans="1:26" ht="16.8" customHeight="1" thickBot="1" x14ac:dyDescent="0.3">
      <c r="A11" s="609"/>
      <c r="B11" s="542"/>
      <c r="C11" s="542"/>
      <c r="D11" s="543"/>
      <c r="E11" s="338" t="s">
        <v>798</v>
      </c>
      <c r="F11" s="340">
        <v>0.05</v>
      </c>
      <c r="G11" s="331" t="s">
        <v>799</v>
      </c>
      <c r="H11" s="610">
        <v>0.29520000000000002</v>
      </c>
      <c r="I11" s="1"/>
      <c r="J11" s="1"/>
      <c r="K11" s="1"/>
      <c r="L11" s="1"/>
      <c r="M11" s="1"/>
      <c r="N11" s="1"/>
      <c r="O11" s="1"/>
      <c r="P11" s="1"/>
      <c r="Q11" s="1"/>
      <c r="R11" s="1"/>
      <c r="S11" s="1"/>
      <c r="T11" s="1"/>
      <c r="U11" s="1"/>
      <c r="V11" s="1"/>
      <c r="W11" s="1"/>
      <c r="X11" s="1"/>
      <c r="Y11" s="1"/>
      <c r="Z11" s="1"/>
    </row>
    <row r="12" spans="1:26" ht="3.75" customHeight="1" thickBot="1" x14ac:dyDescent="0.3">
      <c r="A12" s="611"/>
      <c r="B12" s="530"/>
      <c r="C12" s="530"/>
      <c r="D12" s="530"/>
      <c r="E12" s="530"/>
      <c r="F12" s="530"/>
      <c r="G12" s="530"/>
      <c r="H12" s="612"/>
      <c r="I12" s="1"/>
      <c r="J12" s="1"/>
      <c r="K12" s="1"/>
      <c r="L12" s="1"/>
      <c r="M12" s="1"/>
      <c r="N12" s="1"/>
      <c r="O12" s="1"/>
      <c r="P12" s="1"/>
      <c r="Q12" s="1"/>
      <c r="R12" s="1"/>
      <c r="S12" s="1"/>
      <c r="T12" s="1"/>
      <c r="U12" s="1"/>
      <c r="V12" s="1"/>
      <c r="W12" s="1"/>
      <c r="X12" s="1"/>
      <c r="Y12" s="1"/>
      <c r="Z12" s="1"/>
    </row>
    <row r="13" spans="1:26" ht="39" customHeight="1" thickBot="1" x14ac:dyDescent="0.3">
      <c r="A13" s="613" t="s">
        <v>5</v>
      </c>
      <c r="B13" s="12" t="s">
        <v>6</v>
      </c>
      <c r="C13" s="12" t="s">
        <v>7</v>
      </c>
      <c r="D13" s="12" t="s">
        <v>8</v>
      </c>
      <c r="E13" s="12" t="s">
        <v>9</v>
      </c>
      <c r="F13" s="272" t="s">
        <v>10</v>
      </c>
      <c r="G13" s="272" t="s">
        <v>11</v>
      </c>
      <c r="H13" s="614" t="s">
        <v>12</v>
      </c>
      <c r="I13" s="1"/>
      <c r="J13" s="1"/>
      <c r="K13" s="1"/>
      <c r="L13" s="1"/>
      <c r="M13" s="1"/>
      <c r="N13" s="1"/>
      <c r="O13" s="1"/>
      <c r="P13" s="1"/>
      <c r="Q13" s="1"/>
      <c r="R13" s="1"/>
      <c r="S13" s="1"/>
      <c r="T13" s="1"/>
      <c r="U13" s="1"/>
      <c r="V13" s="1"/>
      <c r="W13" s="1"/>
      <c r="X13" s="1"/>
      <c r="Y13" s="1"/>
      <c r="Z13" s="1"/>
    </row>
    <row r="14" spans="1:26" ht="18" customHeight="1" x14ac:dyDescent="0.25">
      <c r="A14" s="615">
        <v>1</v>
      </c>
      <c r="B14" s="200" t="s">
        <v>13</v>
      </c>
      <c r="C14" s="201" t="s">
        <v>14</v>
      </c>
      <c r="D14" s="202"/>
      <c r="E14" s="203"/>
      <c r="F14" s="273"/>
      <c r="G14" s="274"/>
      <c r="H14" s="616">
        <f>SUM(H15:H21)</f>
        <v>31260.997286400005</v>
      </c>
      <c r="I14" s="1"/>
      <c r="J14" s="1"/>
      <c r="K14" s="1"/>
      <c r="L14" s="1"/>
      <c r="M14" s="1"/>
      <c r="N14" s="1"/>
      <c r="O14" s="1"/>
      <c r="P14" s="1"/>
      <c r="Q14" s="1"/>
      <c r="R14" s="1"/>
      <c r="S14" s="1"/>
      <c r="T14" s="1"/>
      <c r="U14" s="1"/>
      <c r="V14" s="1"/>
      <c r="W14" s="1"/>
      <c r="X14" s="1"/>
      <c r="Y14" s="1"/>
      <c r="Z14" s="1"/>
    </row>
    <row r="15" spans="1:26" ht="64.8" customHeight="1" x14ac:dyDescent="0.25">
      <c r="A15" s="6" t="s">
        <v>15</v>
      </c>
      <c r="B15" s="199" t="s">
        <v>690</v>
      </c>
      <c r="C15" s="20" t="s">
        <v>255</v>
      </c>
      <c r="D15" s="8" t="s">
        <v>258</v>
      </c>
      <c r="E15" s="13">
        <v>1</v>
      </c>
      <c r="F15" s="275">
        <v>1157</v>
      </c>
      <c r="G15" s="276">
        <f t="shared" ref="G15:G61" si="0">F15+(F15*$H$11)</f>
        <v>1498.5463999999999</v>
      </c>
      <c r="H15" s="276">
        <f>E15*G15</f>
        <v>1498.5463999999999</v>
      </c>
      <c r="I15" s="1"/>
      <c r="J15" s="3"/>
      <c r="K15" s="1"/>
      <c r="L15" s="1"/>
      <c r="M15" s="1"/>
      <c r="N15" s="1"/>
      <c r="O15" s="1"/>
      <c r="P15" s="1"/>
      <c r="Q15" s="1"/>
      <c r="R15" s="1"/>
      <c r="S15" s="1"/>
      <c r="T15" s="1"/>
      <c r="U15" s="1"/>
      <c r="V15" s="1"/>
      <c r="W15" s="1"/>
      <c r="X15" s="1"/>
      <c r="Y15" s="1"/>
      <c r="Z15" s="1"/>
    </row>
    <row r="16" spans="1:26" s="4" customFormat="1" ht="52.2" customHeight="1" x14ac:dyDescent="0.25">
      <c r="A16" s="6" t="s">
        <v>22</v>
      </c>
      <c r="B16" s="199" t="s">
        <v>691</v>
      </c>
      <c r="C16" s="20" t="s">
        <v>256</v>
      </c>
      <c r="D16" s="8" t="s">
        <v>258</v>
      </c>
      <c r="E16" s="13">
        <v>1</v>
      </c>
      <c r="F16" s="275">
        <v>6158.34</v>
      </c>
      <c r="G16" s="276">
        <f t="shared" si="0"/>
        <v>7976.2819680000002</v>
      </c>
      <c r="H16" s="276">
        <f t="shared" ref="H16:H62" si="1">E16*G16</f>
        <v>7976.2819680000002</v>
      </c>
      <c r="J16" s="3"/>
    </row>
    <row r="17" spans="1:10" s="9" customFormat="1" ht="28.5" customHeight="1" x14ac:dyDescent="0.25">
      <c r="A17" s="11" t="s">
        <v>33</v>
      </c>
      <c r="B17" s="199" t="s">
        <v>692</v>
      </c>
      <c r="C17" s="198" t="s">
        <v>34</v>
      </c>
      <c r="D17" s="17" t="s">
        <v>18</v>
      </c>
      <c r="E17" s="15">
        <v>193.3</v>
      </c>
      <c r="F17" s="275">
        <v>7.74</v>
      </c>
      <c r="G17" s="276">
        <f t="shared" si="0"/>
        <v>10.024848</v>
      </c>
      <c r="H17" s="276">
        <f t="shared" si="1"/>
        <v>1937.8031184000001</v>
      </c>
      <c r="I17" s="10"/>
      <c r="J17" s="3"/>
    </row>
    <row r="18" spans="1:10" s="4" customFormat="1" ht="56.4" customHeight="1" x14ac:dyDescent="0.25">
      <c r="A18" s="11" t="s">
        <v>36</v>
      </c>
      <c r="B18" s="199" t="s">
        <v>693</v>
      </c>
      <c r="C18" s="20" t="s">
        <v>282</v>
      </c>
      <c r="D18" s="8" t="s">
        <v>258</v>
      </c>
      <c r="E18" s="15">
        <v>1</v>
      </c>
      <c r="F18" s="275">
        <v>323.45999999999998</v>
      </c>
      <c r="G18" s="276">
        <f t="shared" si="0"/>
        <v>418.94539199999997</v>
      </c>
      <c r="H18" s="276">
        <f t="shared" si="1"/>
        <v>418.94539199999997</v>
      </c>
      <c r="I18" s="19"/>
      <c r="J18" s="3"/>
    </row>
    <row r="19" spans="1:10" s="4" customFormat="1" ht="28.5" customHeight="1" x14ac:dyDescent="0.25">
      <c r="A19" s="11" t="s">
        <v>37</v>
      </c>
      <c r="B19" s="199" t="s">
        <v>694</v>
      </c>
      <c r="C19" s="198" t="s">
        <v>35</v>
      </c>
      <c r="D19" s="8" t="s">
        <v>258</v>
      </c>
      <c r="E19" s="15">
        <v>1</v>
      </c>
      <c r="F19" s="275">
        <v>531.79</v>
      </c>
      <c r="G19" s="276">
        <f t="shared" si="0"/>
        <v>688.77440799999999</v>
      </c>
      <c r="H19" s="276">
        <f t="shared" si="1"/>
        <v>688.77440799999999</v>
      </c>
      <c r="I19" s="10"/>
      <c r="J19" s="3"/>
    </row>
    <row r="20" spans="1:10" s="402" customFormat="1" ht="31.8" customHeight="1" x14ac:dyDescent="0.25">
      <c r="A20" s="395" t="s">
        <v>38</v>
      </c>
      <c r="B20" s="396" t="s">
        <v>39</v>
      </c>
      <c r="C20" s="397" t="s">
        <v>40</v>
      </c>
      <c r="D20" s="398" t="s">
        <v>41</v>
      </c>
      <c r="E20" s="399">
        <v>3.5</v>
      </c>
      <c r="F20" s="400">
        <v>468516.15</v>
      </c>
      <c r="G20" s="401">
        <f t="shared" si="0"/>
        <v>606822.11748000002</v>
      </c>
      <c r="H20" s="401">
        <f>(F20*0.035)</f>
        <v>16398.065250000003</v>
      </c>
      <c r="J20" s="403"/>
    </row>
    <row r="21" spans="1:10" s="402" customFormat="1" ht="46.5" customHeight="1" x14ac:dyDescent="0.25">
      <c r="A21" s="395" t="s">
        <v>42</v>
      </c>
      <c r="B21" s="404" t="s">
        <v>795</v>
      </c>
      <c r="C21" s="405" t="s">
        <v>43</v>
      </c>
      <c r="D21" s="398" t="s">
        <v>41</v>
      </c>
      <c r="E21" s="399">
        <v>0.5</v>
      </c>
      <c r="F21" s="400">
        <v>468516.15</v>
      </c>
      <c r="G21" s="401">
        <f t="shared" si="0"/>
        <v>606822.11748000002</v>
      </c>
      <c r="H21" s="401">
        <f>(F21*0.005)</f>
        <v>2342.5807500000001</v>
      </c>
      <c r="J21" s="403"/>
    </row>
    <row r="22" spans="1:10" s="9" customFormat="1" ht="18" customHeight="1" x14ac:dyDescent="0.25">
      <c r="A22" s="615">
        <v>2</v>
      </c>
      <c r="B22" s="200" t="s">
        <v>44</v>
      </c>
      <c r="C22" s="201" t="s">
        <v>206</v>
      </c>
      <c r="D22" s="202"/>
      <c r="E22" s="203"/>
      <c r="F22" s="273"/>
      <c r="G22" s="274"/>
      <c r="H22" s="616">
        <f>SUM(H23:H25)</f>
        <v>6763.1878731256002</v>
      </c>
    </row>
    <row r="23" spans="1:10" s="229" customFormat="1" ht="19.95" customHeight="1" x14ac:dyDescent="0.25">
      <c r="A23" s="228" t="s">
        <v>23</v>
      </c>
      <c r="B23" s="199" t="s">
        <v>695</v>
      </c>
      <c r="C23" s="198" t="s">
        <v>417</v>
      </c>
      <c r="D23" s="17" t="s">
        <v>24</v>
      </c>
      <c r="E23" s="15">
        <f>'MEC 01 '!E15</f>
        <v>15.363650000000003</v>
      </c>
      <c r="F23" s="275">
        <v>50.72</v>
      </c>
      <c r="G23" s="276">
        <f t="shared" si="0"/>
        <v>65.692543999999998</v>
      </c>
      <c r="H23" s="276">
        <f t="shared" si="1"/>
        <v>1009.2772536256002</v>
      </c>
      <c r="J23" s="230"/>
    </row>
    <row r="24" spans="1:10" s="229" customFormat="1" ht="19.95" customHeight="1" x14ac:dyDescent="0.25">
      <c r="A24" s="228" t="s">
        <v>16</v>
      </c>
      <c r="B24" s="199" t="s">
        <v>696</v>
      </c>
      <c r="C24" s="198" t="s">
        <v>45</v>
      </c>
      <c r="D24" s="17" t="s">
        <v>24</v>
      </c>
      <c r="E24" s="15">
        <f>'MEC 01 '!E16</f>
        <v>71.734375</v>
      </c>
      <c r="F24" s="275">
        <v>50.72</v>
      </c>
      <c r="G24" s="276">
        <f t="shared" si="0"/>
        <v>65.692543999999998</v>
      </c>
      <c r="H24" s="276">
        <f t="shared" si="1"/>
        <v>4712.4135859999997</v>
      </c>
      <c r="J24" s="230"/>
    </row>
    <row r="25" spans="1:10" s="229" customFormat="1" ht="19.95" customHeight="1" x14ac:dyDescent="0.25">
      <c r="A25" s="228" t="s">
        <v>25</v>
      </c>
      <c r="B25" s="199" t="s">
        <v>697</v>
      </c>
      <c r="C25" s="198" t="s">
        <v>46</v>
      </c>
      <c r="D25" s="17" t="s">
        <v>18</v>
      </c>
      <c r="E25" s="15">
        <f>'MEC 01 '!E17</f>
        <v>46.887500000000003</v>
      </c>
      <c r="F25" s="275">
        <v>17.149999999999999</v>
      </c>
      <c r="G25" s="276">
        <f t="shared" si="0"/>
        <v>22.212679999999999</v>
      </c>
      <c r="H25" s="276">
        <f t="shared" si="1"/>
        <v>1041.4970335</v>
      </c>
      <c r="J25" s="230"/>
    </row>
    <row r="26" spans="1:10" s="9" customFormat="1" ht="18" customHeight="1" x14ac:dyDescent="0.25">
      <c r="A26" s="615">
        <v>3</v>
      </c>
      <c r="B26" s="200" t="s">
        <v>432</v>
      </c>
      <c r="C26" s="201" t="s">
        <v>430</v>
      </c>
      <c r="D26" s="202"/>
      <c r="E26" s="203"/>
      <c r="F26" s="273"/>
      <c r="G26" s="274"/>
      <c r="H26" s="616">
        <f>SUM(H27:H30)</f>
        <v>31252.243742666615</v>
      </c>
    </row>
    <row r="27" spans="1:10" s="9" customFormat="1" ht="29.25" customHeight="1" x14ac:dyDescent="0.25">
      <c r="A27" s="11" t="s">
        <v>17</v>
      </c>
      <c r="B27" s="199" t="s">
        <v>698</v>
      </c>
      <c r="C27" s="20" t="s">
        <v>211</v>
      </c>
      <c r="D27" s="17" t="s">
        <v>18</v>
      </c>
      <c r="E27" s="15">
        <f>'MEC 01 '!E19</f>
        <v>124.61000000000001</v>
      </c>
      <c r="F27" s="275">
        <v>47.51</v>
      </c>
      <c r="G27" s="276">
        <f t="shared" ref="G27" si="2">F27+(F27*$H$11)</f>
        <v>61.534951999999997</v>
      </c>
      <c r="H27" s="276">
        <f t="shared" ref="H27" si="3">E27*G27</f>
        <v>7667.8703687200004</v>
      </c>
      <c r="I27" s="240">
        <f>E27+E32</f>
        <v>484.08800000000008</v>
      </c>
      <c r="J27" s="3"/>
    </row>
    <row r="28" spans="1:10" s="4" customFormat="1" ht="26.25" customHeight="1" x14ac:dyDescent="0.25">
      <c r="A28" s="11" t="s">
        <v>47</v>
      </c>
      <c r="B28" s="199" t="s">
        <v>699</v>
      </c>
      <c r="C28" s="198" t="s">
        <v>209</v>
      </c>
      <c r="D28" s="17" t="s">
        <v>24</v>
      </c>
      <c r="E28" s="15">
        <f>'ANEXO A MC'!H54+'ANEXO A MC'!G16</f>
        <v>3.3653750000000002</v>
      </c>
      <c r="F28" s="275">
        <v>397.23</v>
      </c>
      <c r="G28" s="276">
        <f t="shared" si="0"/>
        <v>514.49229600000001</v>
      </c>
      <c r="H28" s="276">
        <f t="shared" si="1"/>
        <v>1731.4595106510001</v>
      </c>
      <c r="I28" s="240"/>
      <c r="J28" s="3"/>
    </row>
    <row r="29" spans="1:10" s="229" customFormat="1" ht="19.95" customHeight="1" x14ac:dyDescent="0.25">
      <c r="A29" s="11" t="s">
        <v>50</v>
      </c>
      <c r="B29" s="199" t="s">
        <v>700</v>
      </c>
      <c r="C29" s="198" t="s">
        <v>48</v>
      </c>
      <c r="D29" s="17" t="s">
        <v>49</v>
      </c>
      <c r="E29" s="15">
        <f>'MEC 01 '!E21</f>
        <v>830.71979800000008</v>
      </c>
      <c r="F29" s="275">
        <v>12.21</v>
      </c>
      <c r="G29" s="276">
        <f t="shared" si="0"/>
        <v>15.814392000000002</v>
      </c>
      <c r="H29" s="276">
        <f t="shared" si="1"/>
        <v>13137.328527732818</v>
      </c>
      <c r="I29" s="240">
        <f>E29+E33</f>
        <v>2687.7197980000001</v>
      </c>
      <c r="J29" s="230"/>
    </row>
    <row r="30" spans="1:10" s="9" customFormat="1" ht="46.5" customHeight="1" x14ac:dyDescent="0.25">
      <c r="A30" s="11" t="s">
        <v>492</v>
      </c>
      <c r="B30" s="199" t="s">
        <v>701</v>
      </c>
      <c r="C30" s="20" t="s">
        <v>210</v>
      </c>
      <c r="D30" s="17" t="s">
        <v>24</v>
      </c>
      <c r="E30" s="15">
        <f>'MEC 01 '!E22</f>
        <v>13.019275</v>
      </c>
      <c r="F30" s="275">
        <v>516.86</v>
      </c>
      <c r="G30" s="276">
        <f t="shared" si="0"/>
        <v>669.43707200000006</v>
      </c>
      <c r="H30" s="276">
        <f t="shared" si="1"/>
        <v>8715.5853355628005</v>
      </c>
      <c r="I30" s="240">
        <f>E30+E34</f>
        <v>22.751324999999998</v>
      </c>
      <c r="J30" s="3"/>
    </row>
    <row r="31" spans="1:10" s="9" customFormat="1" ht="18" customHeight="1" x14ac:dyDescent="0.25">
      <c r="A31" s="615">
        <v>4</v>
      </c>
      <c r="B31" s="200" t="s">
        <v>433</v>
      </c>
      <c r="C31" s="201" t="s">
        <v>431</v>
      </c>
      <c r="D31" s="202"/>
      <c r="E31" s="203"/>
      <c r="F31" s="273"/>
      <c r="G31" s="274"/>
      <c r="H31" s="616">
        <f>SUM(H32:H35)</f>
        <v>79230.437421048016</v>
      </c>
    </row>
    <row r="32" spans="1:10" s="5" customFormat="1" ht="29.25" customHeight="1" x14ac:dyDescent="0.25">
      <c r="A32" s="11" t="s">
        <v>19</v>
      </c>
      <c r="B32" s="199" t="s">
        <v>698</v>
      </c>
      <c r="C32" s="20" t="s">
        <v>211</v>
      </c>
      <c r="D32" s="17" t="s">
        <v>18</v>
      </c>
      <c r="E32" s="15">
        <f>'MEC 01 '!E24</f>
        <v>359.47800000000007</v>
      </c>
      <c r="F32" s="275">
        <v>47.51</v>
      </c>
      <c r="G32" s="276">
        <f t="shared" si="0"/>
        <v>61.534951999999997</v>
      </c>
      <c r="H32" s="276">
        <f t="shared" si="1"/>
        <v>22120.461475056003</v>
      </c>
      <c r="J32" s="3"/>
    </row>
    <row r="33" spans="1:10" s="229" customFormat="1" ht="19.95" customHeight="1" x14ac:dyDescent="0.25">
      <c r="A33" s="11" t="s">
        <v>20</v>
      </c>
      <c r="B33" s="199" t="s">
        <v>700</v>
      </c>
      <c r="C33" s="198" t="s">
        <v>48</v>
      </c>
      <c r="D33" s="17" t="s">
        <v>49</v>
      </c>
      <c r="E33" s="15">
        <f>'MEC 01 '!E25</f>
        <v>1857</v>
      </c>
      <c r="F33" s="275">
        <v>12.21</v>
      </c>
      <c r="G33" s="276">
        <f t="shared" si="0"/>
        <v>15.814392000000002</v>
      </c>
      <c r="H33" s="276">
        <f t="shared" si="1"/>
        <v>29367.325944000004</v>
      </c>
      <c r="I33" s="240"/>
      <c r="J33" s="230"/>
    </row>
    <row r="34" spans="1:10" s="5" customFormat="1" ht="43.5" customHeight="1" x14ac:dyDescent="0.25">
      <c r="A34" s="11" t="s">
        <v>51</v>
      </c>
      <c r="B34" s="199" t="s">
        <v>702</v>
      </c>
      <c r="C34" s="20" t="s">
        <v>212</v>
      </c>
      <c r="D34" s="17" t="s">
        <v>24</v>
      </c>
      <c r="E34" s="15">
        <f>'MEC 01 '!E26</f>
        <v>9.7320499999999974</v>
      </c>
      <c r="F34" s="275">
        <v>534.20000000000005</v>
      </c>
      <c r="G34" s="276">
        <f t="shared" si="0"/>
        <v>691.89584000000013</v>
      </c>
      <c r="H34" s="276">
        <f t="shared" si="1"/>
        <v>6733.5649096719999</v>
      </c>
      <c r="J34" s="3"/>
    </row>
    <row r="35" spans="1:10" s="5" customFormat="1" ht="29.25" customHeight="1" x14ac:dyDescent="0.25">
      <c r="A35" s="11" t="s">
        <v>52</v>
      </c>
      <c r="B35" s="199" t="s">
        <v>703</v>
      </c>
      <c r="C35" s="20" t="s">
        <v>213</v>
      </c>
      <c r="D35" s="17" t="s">
        <v>18</v>
      </c>
      <c r="E35" s="15">
        <v>162.11000000000001</v>
      </c>
      <c r="F35" s="275">
        <v>100.06</v>
      </c>
      <c r="G35" s="276">
        <f t="shared" si="0"/>
        <v>129.597712</v>
      </c>
      <c r="H35" s="276">
        <f t="shared" si="1"/>
        <v>21009.085092320001</v>
      </c>
      <c r="J35" s="3"/>
    </row>
    <row r="36" spans="1:10" s="9" customFormat="1" ht="18" customHeight="1" x14ac:dyDescent="0.25">
      <c r="A36" s="615">
        <v>5</v>
      </c>
      <c r="B36" s="200" t="s">
        <v>53</v>
      </c>
      <c r="C36" s="201" t="s">
        <v>54</v>
      </c>
      <c r="D36" s="202"/>
      <c r="E36" s="203"/>
      <c r="F36" s="273"/>
      <c r="G36" s="274"/>
      <c r="H36" s="616">
        <f>SUM(H37:H42)</f>
        <v>52588.087834232007</v>
      </c>
    </row>
    <row r="37" spans="1:10" s="9" customFormat="1" ht="43.5" customHeight="1" x14ac:dyDescent="0.25">
      <c r="A37" s="11" t="s">
        <v>55</v>
      </c>
      <c r="B37" s="199" t="s">
        <v>704</v>
      </c>
      <c r="C37" s="20" t="str">
        <f>'MEC 01 '!C29</f>
        <v>ALVENARIA DE VEDAÇÃO COM TIJOLO CERÂMICO FURADO, ESP.19CM, PARA REVESTIMENTO, INCLUSIVE ARGAMASSA PARA ASSENTAMENTO</v>
      </c>
      <c r="D37" s="17" t="s">
        <v>18</v>
      </c>
      <c r="E37" s="15">
        <f>'MEC 01 '!E29</f>
        <v>25.4</v>
      </c>
      <c r="F37" s="275">
        <v>61.66</v>
      </c>
      <c r="G37" s="276">
        <f t="shared" si="0"/>
        <v>79.862031999999999</v>
      </c>
      <c r="H37" s="276">
        <f t="shared" si="1"/>
        <v>2028.4956127999999</v>
      </c>
      <c r="J37" s="3"/>
    </row>
    <row r="38" spans="1:10" s="9" customFormat="1" ht="43.5" customHeight="1" x14ac:dyDescent="0.25">
      <c r="A38" s="11" t="s">
        <v>56</v>
      </c>
      <c r="B38" s="199" t="s">
        <v>705</v>
      </c>
      <c r="C38" s="20" t="str">
        <f>'MEC 01 '!C30</f>
        <v>ALVENARIA DE VEDAÇÃO COM TIJOLO CERÂMICO FURADO, ESP.14CM, PARA REVESTIMENTO, INCLUSIVE ARGAMASSA PARA ASSENTAMENTO</v>
      </c>
      <c r="D38" s="17" t="s">
        <v>18</v>
      </c>
      <c r="E38" s="15">
        <f>'MEC 01 '!E30</f>
        <v>500.8900000000001</v>
      </c>
      <c r="F38" s="275">
        <v>51.27</v>
      </c>
      <c r="G38" s="276">
        <f t="shared" ref="G38:G42" si="4">F38+(F38*$H$11)</f>
        <v>66.404904000000002</v>
      </c>
      <c r="H38" s="276">
        <f t="shared" ref="H38:H42" si="5">E38*G38</f>
        <v>33261.552364560004</v>
      </c>
      <c r="J38" s="3"/>
    </row>
    <row r="39" spans="1:10" s="9" customFormat="1" ht="43.5" customHeight="1" x14ac:dyDescent="0.25">
      <c r="A39" s="11" t="s">
        <v>57</v>
      </c>
      <c r="B39" s="199" t="str">
        <f>'MEC 01 '!B31</f>
        <v>EST-001</v>
      </c>
      <c r="C39" s="20" t="str">
        <f>'MEC 01 '!C31</f>
        <v>VERGA EM CONCRETO ESTRUTURAL PARA VÃOS ACIMA DE 150CM, PREPARADO EM OBRA COM BETONEIRA, CONTROLE "A", COM FCK 20 MPA, MOLDADA IN LOCO, INCLUSIVE ARMAÇÃO</v>
      </c>
      <c r="D39" s="17" t="s">
        <v>24</v>
      </c>
      <c r="E39" s="15">
        <f>'MEC 01 '!E31</f>
        <v>0.65400000000000014</v>
      </c>
      <c r="F39" s="275">
        <v>2414.1799999999998</v>
      </c>
      <c r="G39" s="276">
        <f t="shared" si="4"/>
        <v>3126.8459359999997</v>
      </c>
      <c r="H39" s="276">
        <f t="shared" si="5"/>
        <v>2044.9572421440002</v>
      </c>
      <c r="J39" s="3"/>
    </row>
    <row r="40" spans="1:10" s="9" customFormat="1" ht="43.5" customHeight="1" x14ac:dyDescent="0.25">
      <c r="A40" s="11" t="s">
        <v>58</v>
      </c>
      <c r="B40" s="199" t="str">
        <f>'MEC 01 '!B32</f>
        <v>ED-49643</v>
      </c>
      <c r="C40" s="20" t="str">
        <f>'MEC 01 '!C32</f>
        <v>CONTRAVERGA EM CONCRETO ESTRUTURAL PARA VÃOS ACIMA DE 150CM, PREPARADO EM OBRA COM BETONEIRA, CONTROLE "A", COM FCK 20 MPA, MOLDADA IN LOCO, INCLUSIVE ARMAÇÃO</v>
      </c>
      <c r="D40" s="17" t="s">
        <v>24</v>
      </c>
      <c r="E40" s="15">
        <f>'MEC 01 '!E32</f>
        <v>0.65400000000000014</v>
      </c>
      <c r="F40" s="275">
        <v>2414.1799999999998</v>
      </c>
      <c r="G40" s="276">
        <f t="shared" ref="G40" si="6">F40+(F40*$H$11)</f>
        <v>3126.8459359999997</v>
      </c>
      <c r="H40" s="276">
        <f t="shared" ref="H40" si="7">E40*G40</f>
        <v>2044.9572421440002</v>
      </c>
      <c r="J40" s="3"/>
    </row>
    <row r="41" spans="1:10" s="9" customFormat="1" ht="43.5" customHeight="1" x14ac:dyDescent="0.25">
      <c r="A41" s="11" t="s">
        <v>361</v>
      </c>
      <c r="B41" s="199" t="str">
        <f>'MEC 01 '!B33</f>
        <v>ED-48298</v>
      </c>
      <c r="C41" s="20" t="str">
        <f>'MEC 01 '!C33</f>
        <v>VERGA EM CONCRETO ESTRUTURAL PARA VÃOS DE ATÉ 150CM, PREPARADO EM OBRA COM BETONEIRA, CONTROLE "A", COM FCK 20 MPA, MOLDADA IN LOCO, INCLUSIVE ARMAÇÃO</v>
      </c>
      <c r="D41" s="17" t="s">
        <v>24</v>
      </c>
      <c r="E41" s="15">
        <f>'MEC 01 '!E33</f>
        <v>0.68100000000000005</v>
      </c>
      <c r="F41" s="275">
        <v>2203.0700000000002</v>
      </c>
      <c r="G41" s="276">
        <f t="shared" si="4"/>
        <v>2853.4162640000004</v>
      </c>
      <c r="H41" s="276">
        <f t="shared" si="5"/>
        <v>1943.1764757840003</v>
      </c>
      <c r="J41" s="3"/>
    </row>
    <row r="42" spans="1:10" s="9" customFormat="1" ht="29.25" customHeight="1" x14ac:dyDescent="0.25">
      <c r="A42" s="11" t="s">
        <v>504</v>
      </c>
      <c r="B42" s="199" t="s">
        <v>706</v>
      </c>
      <c r="C42" s="20" t="str">
        <f>'MEC 01 '!C34</f>
        <v>DIVISÓRIA EM GRANITO CINZA ANDORINHA E = 3 CM, INCLUSIVE FERRAGENS EM LATÃO CROMADO</v>
      </c>
      <c r="D42" s="17" t="s">
        <v>18</v>
      </c>
      <c r="E42" s="15">
        <f>'MEC 01 '!E34</f>
        <v>15.900000000000002</v>
      </c>
      <c r="F42" s="275">
        <v>547.01</v>
      </c>
      <c r="G42" s="276">
        <f t="shared" si="4"/>
        <v>708.48735199999999</v>
      </c>
      <c r="H42" s="276">
        <f t="shared" si="5"/>
        <v>11264.948896800001</v>
      </c>
      <c r="J42" s="3"/>
    </row>
    <row r="43" spans="1:10" s="9" customFormat="1" ht="18" customHeight="1" x14ac:dyDescent="0.25">
      <c r="A43" s="615">
        <v>6</v>
      </c>
      <c r="B43" s="200" t="s">
        <v>60</v>
      </c>
      <c r="C43" s="201" t="s">
        <v>61</v>
      </c>
      <c r="D43" s="202"/>
      <c r="E43" s="203"/>
      <c r="F43" s="273"/>
      <c r="G43" s="274"/>
      <c r="H43" s="616">
        <f>SUM(H44:H52)</f>
        <v>30423.709067280004</v>
      </c>
    </row>
    <row r="44" spans="1:10" s="229" customFormat="1" ht="19.95" customHeight="1" x14ac:dyDescent="0.25">
      <c r="A44" s="11" t="s">
        <v>62</v>
      </c>
      <c r="B44" s="199" t="s">
        <v>707</v>
      </c>
      <c r="C44" s="198" t="s">
        <v>63</v>
      </c>
      <c r="D44" s="17" t="s">
        <v>18</v>
      </c>
      <c r="E44" s="15">
        <f>'MEC 01 '!E36</f>
        <v>161.53</v>
      </c>
      <c r="F44" s="275">
        <v>71.37</v>
      </c>
      <c r="G44" s="276">
        <f t="shared" si="0"/>
        <v>92.438424000000012</v>
      </c>
      <c r="H44" s="276">
        <f t="shared" si="1"/>
        <v>14931.578628720003</v>
      </c>
      <c r="I44" s="240"/>
      <c r="J44" s="230"/>
    </row>
    <row r="45" spans="1:10" s="229" customFormat="1" ht="19.95" customHeight="1" x14ac:dyDescent="0.25">
      <c r="A45" s="11" t="s">
        <v>64</v>
      </c>
      <c r="B45" s="199" t="s">
        <v>708</v>
      </c>
      <c r="C45" s="198" t="s">
        <v>65</v>
      </c>
      <c r="D45" s="17" t="s">
        <v>18</v>
      </c>
      <c r="E45" s="15">
        <f>'MEC 01 '!E37</f>
        <v>161.53</v>
      </c>
      <c r="F45" s="275">
        <v>30.98</v>
      </c>
      <c r="G45" s="276">
        <f t="shared" si="0"/>
        <v>40.125295999999999</v>
      </c>
      <c r="H45" s="276">
        <f t="shared" si="1"/>
        <v>6481.4390628800002</v>
      </c>
      <c r="I45" s="240"/>
      <c r="J45" s="230"/>
    </row>
    <row r="46" spans="1:10" s="229" customFormat="1" ht="22.8" customHeight="1" x14ac:dyDescent="0.25">
      <c r="A46" s="11" t="s">
        <v>66</v>
      </c>
      <c r="B46" s="199" t="s">
        <v>709</v>
      </c>
      <c r="C46" s="341" t="s">
        <v>710</v>
      </c>
      <c r="D46" s="17" t="s">
        <v>26</v>
      </c>
      <c r="E46" s="15">
        <v>101.07</v>
      </c>
      <c r="F46" s="275">
        <v>27.41</v>
      </c>
      <c r="G46" s="276">
        <f t="shared" ref="G46" si="8">F46+(F46*$H$11)</f>
        <v>35.501432000000001</v>
      </c>
      <c r="H46" s="276">
        <f t="shared" ref="H46" si="9">E46*G46</f>
        <v>3588.1297322400001</v>
      </c>
      <c r="I46" s="240"/>
      <c r="J46" s="230"/>
    </row>
    <row r="47" spans="1:10" s="281" customFormat="1" ht="43.5" customHeight="1" x14ac:dyDescent="0.25">
      <c r="A47" s="11" t="s">
        <v>67</v>
      </c>
      <c r="B47" s="199" t="s">
        <v>711</v>
      </c>
      <c r="C47" s="20" t="s">
        <v>214</v>
      </c>
      <c r="D47" s="17" t="s">
        <v>18</v>
      </c>
      <c r="E47" s="15">
        <f>'MEC 01 '!E39</f>
        <v>21.285</v>
      </c>
      <c r="F47" s="275">
        <v>32.380000000000003</v>
      </c>
      <c r="G47" s="283">
        <f t="shared" si="0"/>
        <v>41.938576000000005</v>
      </c>
      <c r="H47" s="283">
        <f t="shared" si="1"/>
        <v>892.66259016000015</v>
      </c>
      <c r="J47" s="282"/>
    </row>
    <row r="48" spans="1:10" s="5" customFormat="1" ht="25.5" customHeight="1" x14ac:dyDescent="0.25">
      <c r="A48" s="11" t="s">
        <v>69</v>
      </c>
      <c r="B48" s="199" t="s">
        <v>712</v>
      </c>
      <c r="C48" s="198" t="s">
        <v>510</v>
      </c>
      <c r="D48" s="17" t="s">
        <v>18</v>
      </c>
      <c r="E48" s="15">
        <f>'MEC 01 '!E40</f>
        <v>21.285</v>
      </c>
      <c r="F48" s="275">
        <v>57.86</v>
      </c>
      <c r="G48" s="276">
        <f t="shared" si="0"/>
        <v>74.940271999999993</v>
      </c>
      <c r="H48" s="276">
        <f t="shared" si="1"/>
        <v>1595.1036895199998</v>
      </c>
      <c r="J48" s="3"/>
    </row>
    <row r="49" spans="1:10" s="5" customFormat="1" ht="28.2" customHeight="1" x14ac:dyDescent="0.25">
      <c r="A49" s="11" t="s">
        <v>70</v>
      </c>
      <c r="B49" s="199" t="s">
        <v>713</v>
      </c>
      <c r="C49" s="20" t="s">
        <v>215</v>
      </c>
      <c r="D49" s="17" t="s">
        <v>18</v>
      </c>
      <c r="E49" s="15">
        <f>'MEC 01 '!E41</f>
        <v>21.285</v>
      </c>
      <c r="F49" s="275">
        <v>18.98</v>
      </c>
      <c r="G49" s="276">
        <f t="shared" si="0"/>
        <v>24.582896000000002</v>
      </c>
      <c r="H49" s="276">
        <f t="shared" si="1"/>
        <v>523.24694136000005</v>
      </c>
      <c r="J49" s="3"/>
    </row>
    <row r="50" spans="1:10" s="9" customFormat="1" ht="59.4" customHeight="1" x14ac:dyDescent="0.25">
      <c r="A50" s="11" t="s">
        <v>71</v>
      </c>
      <c r="B50" s="199" t="s">
        <v>674</v>
      </c>
      <c r="C50" s="20" t="s">
        <v>675</v>
      </c>
      <c r="D50" s="17" t="s">
        <v>26</v>
      </c>
      <c r="E50" s="15">
        <f>'MEC 01 '!E42</f>
        <v>58.2</v>
      </c>
      <c r="F50" s="275">
        <v>14.91</v>
      </c>
      <c r="G50" s="276">
        <f t="shared" si="0"/>
        <v>19.311432</v>
      </c>
      <c r="H50" s="276">
        <f t="shared" si="1"/>
        <v>1123.9253424000001</v>
      </c>
      <c r="J50" s="3"/>
    </row>
    <row r="51" spans="1:10" s="9" customFormat="1" ht="43.5" customHeight="1" x14ac:dyDescent="0.25">
      <c r="A51" s="11" t="s">
        <v>673</v>
      </c>
      <c r="B51" s="199" t="s">
        <v>714</v>
      </c>
      <c r="C51" s="20" t="s">
        <v>216</v>
      </c>
      <c r="D51" s="17" t="s">
        <v>26</v>
      </c>
      <c r="E51" s="15">
        <f>'MEC 01 '!E43</f>
        <v>9</v>
      </c>
      <c r="F51" s="275">
        <v>36.090000000000003</v>
      </c>
      <c r="G51" s="276">
        <f t="shared" si="0"/>
        <v>46.743768000000003</v>
      </c>
      <c r="H51" s="276">
        <f t="shared" si="1"/>
        <v>420.69391200000001</v>
      </c>
      <c r="J51" s="3"/>
    </row>
    <row r="52" spans="1:10" s="9" customFormat="1" ht="59.4" customHeight="1" x14ac:dyDescent="0.25">
      <c r="A52" s="11" t="s">
        <v>784</v>
      </c>
      <c r="B52" s="199" t="s">
        <v>715</v>
      </c>
      <c r="C52" s="20" t="s">
        <v>217</v>
      </c>
      <c r="D52" s="17" t="s">
        <v>258</v>
      </c>
      <c r="E52" s="15">
        <f>'MEC 01 '!E44</f>
        <v>2</v>
      </c>
      <c r="F52" s="275">
        <v>334.67</v>
      </c>
      <c r="G52" s="276">
        <f t="shared" si="0"/>
        <v>433.46458400000006</v>
      </c>
      <c r="H52" s="276">
        <f t="shared" si="1"/>
        <v>866.92916800000012</v>
      </c>
      <c r="J52" s="3"/>
    </row>
    <row r="53" spans="1:10" s="9" customFormat="1" ht="18" customHeight="1" x14ac:dyDescent="0.25">
      <c r="A53" s="615">
        <v>7</v>
      </c>
      <c r="B53" s="200" t="s">
        <v>72</v>
      </c>
      <c r="C53" s="201" t="s">
        <v>73</v>
      </c>
      <c r="D53" s="202"/>
      <c r="E53" s="203"/>
      <c r="F53" s="273"/>
      <c r="G53" s="274"/>
      <c r="H53" s="616">
        <f>SUM(H54:H80)</f>
        <v>35386.1838088</v>
      </c>
    </row>
    <row r="54" spans="1:10" s="9" customFormat="1" ht="28.2" customHeight="1" x14ac:dyDescent="0.25">
      <c r="A54" s="6" t="s">
        <v>74</v>
      </c>
      <c r="B54" s="199" t="str">
        <f>'MEC 01 '!B46</f>
        <v>ED-50170</v>
      </c>
      <c r="C54" s="20" t="str">
        <f>'MEC 01 '!C46</f>
        <v>FORNECIMENTO E ASSENTAMENTO DE TUBO PVC RÍGIDO, ESGOTO, PBV - SÉRIE NORMAL, DN 100 MM (4"), INCLUSIVE CONEXÕES</v>
      </c>
      <c r="D54" s="17" t="str">
        <f>'MEC 01 '!D46</f>
        <v>M</v>
      </c>
      <c r="E54" s="15">
        <f>'MEC 01 '!E46</f>
        <v>80</v>
      </c>
      <c r="F54" s="275">
        <v>36.909999999999997</v>
      </c>
      <c r="G54" s="276">
        <f t="shared" si="0"/>
        <v>47.805831999999995</v>
      </c>
      <c r="H54" s="276">
        <f t="shared" si="1"/>
        <v>3824.4665599999998</v>
      </c>
      <c r="J54" s="3"/>
    </row>
    <row r="55" spans="1:10" s="9" customFormat="1" ht="28.2" customHeight="1" x14ac:dyDescent="0.25">
      <c r="A55" s="6" t="s">
        <v>75</v>
      </c>
      <c r="B55" s="199" t="str">
        <f>'MEC 01 '!B47</f>
        <v>ED-50168</v>
      </c>
      <c r="C55" s="20" t="str">
        <f>'MEC 01 '!C47</f>
        <v>FORNECIMENTO E ASSENTAMENTO DE TUBO PVC RÍGIDO SOLDÁVEL, ÁGUA FRIA, DN 32 MM (1") , INCLUSIVE CONEXÕES</v>
      </c>
      <c r="D55" s="17" t="str">
        <f>'MEC 01 '!D47</f>
        <v>M</v>
      </c>
      <c r="E55" s="15">
        <f>'MEC 01 '!E47</f>
        <v>50</v>
      </c>
      <c r="F55" s="275">
        <v>27.38</v>
      </c>
      <c r="G55" s="276">
        <f t="shared" si="0"/>
        <v>35.462575999999999</v>
      </c>
      <c r="H55" s="276">
        <f t="shared" si="1"/>
        <v>1773.1288</v>
      </c>
      <c r="J55" s="3"/>
    </row>
    <row r="56" spans="1:10" s="9" customFormat="1" ht="28.2" customHeight="1" x14ac:dyDescent="0.25">
      <c r="A56" s="6" t="s">
        <v>76</v>
      </c>
      <c r="B56" s="199" t="s">
        <v>512</v>
      </c>
      <c r="C56" s="20" t="s">
        <v>513</v>
      </c>
      <c r="D56" s="17" t="s">
        <v>258</v>
      </c>
      <c r="E56" s="15">
        <f>'MEC 01 '!E48</f>
        <v>24</v>
      </c>
      <c r="F56" s="275">
        <v>106.5</v>
      </c>
      <c r="G56" s="276">
        <f t="shared" si="0"/>
        <v>137.93880000000001</v>
      </c>
      <c r="H56" s="276">
        <f t="shared" si="1"/>
        <v>3310.5312000000004</v>
      </c>
      <c r="J56" s="3"/>
    </row>
    <row r="57" spans="1:10" s="9" customFormat="1" ht="43.5" customHeight="1" x14ac:dyDescent="0.25">
      <c r="A57" s="6" t="s">
        <v>77</v>
      </c>
      <c r="B57" s="199" t="s">
        <v>514</v>
      </c>
      <c r="C57" s="20" t="s">
        <v>515</v>
      </c>
      <c r="D57" s="17" t="s">
        <v>258</v>
      </c>
      <c r="E57" s="15">
        <f>'MEC 01 '!E49</f>
        <v>28</v>
      </c>
      <c r="F57" s="275">
        <v>133.1</v>
      </c>
      <c r="G57" s="276">
        <f t="shared" si="0"/>
        <v>172.39112</v>
      </c>
      <c r="H57" s="276">
        <f t="shared" si="1"/>
        <v>4826.95136</v>
      </c>
      <c r="J57" s="3"/>
    </row>
    <row r="58" spans="1:10" s="9" customFormat="1" ht="28.2" customHeight="1" x14ac:dyDescent="0.25">
      <c r="A58" s="6" t="s">
        <v>78</v>
      </c>
      <c r="B58" s="199" t="s">
        <v>516</v>
      </c>
      <c r="C58" s="20" t="s">
        <v>517</v>
      </c>
      <c r="D58" s="17" t="s">
        <v>258</v>
      </c>
      <c r="E58" s="15">
        <f>'MEC 01 '!E50</f>
        <v>7</v>
      </c>
      <c r="F58" s="275">
        <v>255.6</v>
      </c>
      <c r="G58" s="276">
        <f t="shared" si="0"/>
        <v>331.05311999999998</v>
      </c>
      <c r="H58" s="276">
        <f t="shared" si="1"/>
        <v>2317.3718399999998</v>
      </c>
      <c r="J58" s="3"/>
    </row>
    <row r="59" spans="1:10" s="9" customFormat="1" ht="41.25" customHeight="1" x14ac:dyDescent="0.25">
      <c r="A59" s="6" t="s">
        <v>79</v>
      </c>
      <c r="B59" s="199" t="s">
        <v>716</v>
      </c>
      <c r="C59" s="198" t="s">
        <v>519</v>
      </c>
      <c r="D59" s="17" t="s">
        <v>258</v>
      </c>
      <c r="E59" s="16">
        <f>'MEC 01 '!E51</f>
        <v>7</v>
      </c>
      <c r="F59" s="275">
        <v>39</v>
      </c>
      <c r="G59" s="276">
        <f t="shared" si="0"/>
        <v>50.512799999999999</v>
      </c>
      <c r="H59" s="276">
        <f t="shared" si="1"/>
        <v>353.58960000000002</v>
      </c>
      <c r="I59" s="19"/>
      <c r="J59" s="3"/>
    </row>
    <row r="60" spans="1:10" s="9" customFormat="1" ht="45" customHeight="1" x14ac:dyDescent="0.25">
      <c r="A60" s="6" t="s">
        <v>80</v>
      </c>
      <c r="B60" s="199" t="s">
        <v>717</v>
      </c>
      <c r="C60" s="284" t="s">
        <v>219</v>
      </c>
      <c r="D60" s="17" t="s">
        <v>258</v>
      </c>
      <c r="E60" s="15">
        <f>'MEC 01 '!E52</f>
        <v>6</v>
      </c>
      <c r="F60" s="275">
        <v>55.51</v>
      </c>
      <c r="G60" s="276">
        <f t="shared" si="0"/>
        <v>71.896552</v>
      </c>
      <c r="H60" s="276">
        <f t="shared" si="1"/>
        <v>431.37931200000003</v>
      </c>
      <c r="J60" s="3"/>
    </row>
    <row r="61" spans="1:10" s="9" customFormat="1" ht="45" customHeight="1" x14ac:dyDescent="0.25">
      <c r="A61" s="6" t="s">
        <v>81</v>
      </c>
      <c r="B61" s="199" t="s">
        <v>718</v>
      </c>
      <c r="C61" s="284" t="s">
        <v>220</v>
      </c>
      <c r="D61" s="17" t="s">
        <v>258</v>
      </c>
      <c r="E61" s="15">
        <f>'MEC 01 '!E53</f>
        <v>2</v>
      </c>
      <c r="F61" s="275">
        <v>53.25</v>
      </c>
      <c r="G61" s="276">
        <f t="shared" si="0"/>
        <v>68.969400000000007</v>
      </c>
      <c r="H61" s="276">
        <f t="shared" si="1"/>
        <v>137.93880000000001</v>
      </c>
      <c r="J61" s="3"/>
    </row>
    <row r="62" spans="1:10" s="9" customFormat="1" ht="45" customHeight="1" x14ac:dyDescent="0.25">
      <c r="A62" s="6" t="s">
        <v>82</v>
      </c>
      <c r="B62" s="199" t="s">
        <v>719</v>
      </c>
      <c r="C62" s="284" t="s">
        <v>221</v>
      </c>
      <c r="D62" s="17" t="s">
        <v>258</v>
      </c>
      <c r="E62" s="15">
        <f>'MEC 01 '!E54</f>
        <v>2</v>
      </c>
      <c r="F62" s="275">
        <v>1125.8800000000001</v>
      </c>
      <c r="G62" s="276">
        <f t="shared" ref="G62:G115" si="10">F62+(F62*$H$11)</f>
        <v>1458.2397760000001</v>
      </c>
      <c r="H62" s="276">
        <f t="shared" si="1"/>
        <v>2916.4795520000002</v>
      </c>
      <c r="J62" s="3"/>
    </row>
    <row r="63" spans="1:10" s="9" customFormat="1" ht="28.2" customHeight="1" x14ac:dyDescent="0.25">
      <c r="A63" s="6" t="s">
        <v>83</v>
      </c>
      <c r="B63" s="199" t="s">
        <v>720</v>
      </c>
      <c r="C63" s="20" t="s">
        <v>350</v>
      </c>
      <c r="D63" s="17" t="s">
        <v>258</v>
      </c>
      <c r="E63" s="15">
        <f>'MEC 01 '!E55</f>
        <v>2</v>
      </c>
      <c r="F63" s="275">
        <v>38.64</v>
      </c>
      <c r="G63" s="276">
        <f t="shared" si="10"/>
        <v>50.046528000000002</v>
      </c>
      <c r="H63" s="276">
        <f t="shared" ref="H63:H115" si="11">E63*G63</f>
        <v>100.093056</v>
      </c>
      <c r="J63" s="3"/>
    </row>
    <row r="64" spans="1:10" s="9" customFormat="1" ht="26.25" customHeight="1" x14ac:dyDescent="0.25">
      <c r="A64" s="6" t="s">
        <v>84</v>
      </c>
      <c r="B64" s="199" t="s">
        <v>721</v>
      </c>
      <c r="C64" s="7" t="s">
        <v>87</v>
      </c>
      <c r="D64" s="17" t="s">
        <v>258</v>
      </c>
      <c r="E64" s="15">
        <f>'MEC 01 '!E56</f>
        <v>14</v>
      </c>
      <c r="F64" s="275">
        <v>44.65</v>
      </c>
      <c r="G64" s="276">
        <f t="shared" si="10"/>
        <v>57.830680000000001</v>
      </c>
      <c r="H64" s="276">
        <f t="shared" si="11"/>
        <v>809.62951999999996</v>
      </c>
      <c r="J64" s="3"/>
    </row>
    <row r="65" spans="1:10" s="9" customFormat="1" ht="27" customHeight="1" x14ac:dyDescent="0.25">
      <c r="A65" s="6" t="s">
        <v>85</v>
      </c>
      <c r="B65" s="199" t="s">
        <v>722</v>
      </c>
      <c r="C65" s="7" t="s">
        <v>90</v>
      </c>
      <c r="D65" s="17" t="s">
        <v>258</v>
      </c>
      <c r="E65" s="15">
        <f>'MEC 01 '!E57</f>
        <v>2</v>
      </c>
      <c r="F65" s="275">
        <v>20.65</v>
      </c>
      <c r="G65" s="276">
        <f t="shared" si="10"/>
        <v>26.74588</v>
      </c>
      <c r="H65" s="276">
        <f t="shared" si="11"/>
        <v>53.491759999999999</v>
      </c>
      <c r="J65" s="3"/>
    </row>
    <row r="66" spans="1:10" s="9" customFormat="1" ht="52.5" customHeight="1" x14ac:dyDescent="0.25">
      <c r="A66" s="6" t="s">
        <v>86</v>
      </c>
      <c r="B66" s="199" t="s">
        <v>723</v>
      </c>
      <c r="C66" s="20" t="s">
        <v>526</v>
      </c>
      <c r="D66" s="17" t="s">
        <v>258</v>
      </c>
      <c r="E66" s="16">
        <v>1</v>
      </c>
      <c r="F66" s="275">
        <v>94.05</v>
      </c>
      <c r="G66" s="276">
        <f t="shared" si="10"/>
        <v>121.81356</v>
      </c>
      <c r="H66" s="276">
        <f t="shared" si="11"/>
        <v>121.81356</v>
      </c>
      <c r="I66" s="19"/>
      <c r="J66" s="3"/>
    </row>
    <row r="67" spans="1:10" s="9" customFormat="1" ht="59.4" customHeight="1" x14ac:dyDescent="0.25">
      <c r="A67" s="6" t="s">
        <v>89</v>
      </c>
      <c r="B67" s="199" t="s">
        <v>724</v>
      </c>
      <c r="C67" s="20" t="s">
        <v>223</v>
      </c>
      <c r="D67" s="17" t="s">
        <v>258</v>
      </c>
      <c r="E67" s="15">
        <v>9</v>
      </c>
      <c r="F67" s="275">
        <v>211.52</v>
      </c>
      <c r="G67" s="276">
        <f t="shared" si="10"/>
        <v>273.96070400000002</v>
      </c>
      <c r="H67" s="276">
        <f t="shared" si="11"/>
        <v>2465.6463360000002</v>
      </c>
      <c r="J67" s="3"/>
    </row>
    <row r="68" spans="1:10" s="9" customFormat="1" ht="59.4" customHeight="1" x14ac:dyDescent="0.25">
      <c r="A68" s="6" t="s">
        <v>91</v>
      </c>
      <c r="B68" s="199" t="s">
        <v>800</v>
      </c>
      <c r="C68" s="20" t="s">
        <v>801</v>
      </c>
      <c r="D68" s="17" t="s">
        <v>258</v>
      </c>
      <c r="E68" s="15">
        <v>10</v>
      </c>
      <c r="F68" s="275">
        <v>290.02</v>
      </c>
      <c r="G68" s="276">
        <f t="shared" si="10"/>
        <v>375.63390399999997</v>
      </c>
      <c r="H68" s="276">
        <f t="shared" si="11"/>
        <v>3756.3390399999998</v>
      </c>
      <c r="J68" s="3"/>
    </row>
    <row r="69" spans="1:10" s="9" customFormat="1" ht="45" customHeight="1" x14ac:dyDescent="0.25">
      <c r="A69" s="6" t="s">
        <v>92</v>
      </c>
      <c r="B69" s="199" t="s">
        <v>726</v>
      </c>
      <c r="C69" s="284" t="s">
        <v>224</v>
      </c>
      <c r="D69" s="17" t="s">
        <v>258</v>
      </c>
      <c r="E69" s="15">
        <v>7</v>
      </c>
      <c r="F69" s="275">
        <v>441.3</v>
      </c>
      <c r="G69" s="276">
        <f t="shared" si="10"/>
        <v>571.57176000000004</v>
      </c>
      <c r="H69" s="276">
        <f t="shared" si="11"/>
        <v>4001.0023200000005</v>
      </c>
      <c r="J69" s="3"/>
    </row>
    <row r="70" spans="1:10" s="9" customFormat="1" ht="45" customHeight="1" x14ac:dyDescent="0.25">
      <c r="A70" s="6" t="s">
        <v>93</v>
      </c>
      <c r="B70" s="199" t="s">
        <v>727</v>
      </c>
      <c r="C70" s="284" t="s">
        <v>225</v>
      </c>
      <c r="D70" s="17" t="s">
        <v>258</v>
      </c>
      <c r="E70" s="15">
        <v>10</v>
      </c>
      <c r="F70" s="275">
        <v>102.07</v>
      </c>
      <c r="G70" s="276">
        <f t="shared" si="10"/>
        <v>132.201064</v>
      </c>
      <c r="H70" s="276">
        <f t="shared" si="11"/>
        <v>1322.01064</v>
      </c>
      <c r="J70" s="3"/>
    </row>
    <row r="71" spans="1:10" s="286" customFormat="1" ht="19.95" customHeight="1" x14ac:dyDescent="0.25">
      <c r="A71" s="6" t="s">
        <v>94</v>
      </c>
      <c r="B71" s="199" t="s">
        <v>728</v>
      </c>
      <c r="C71" s="20" t="s">
        <v>147</v>
      </c>
      <c r="D71" s="17" t="s">
        <v>258</v>
      </c>
      <c r="E71" s="15">
        <v>2</v>
      </c>
      <c r="F71" s="275">
        <v>71.709999999999994</v>
      </c>
      <c r="G71" s="283">
        <f>F71+(F71*$H$11)</f>
        <v>92.87879199999999</v>
      </c>
      <c r="H71" s="283">
        <f>E71*G71</f>
        <v>185.75758399999998</v>
      </c>
      <c r="J71" s="287"/>
    </row>
    <row r="72" spans="1:10" s="9" customFormat="1" ht="29.25" customHeight="1" x14ac:dyDescent="0.25">
      <c r="A72" s="6" t="s">
        <v>95</v>
      </c>
      <c r="B72" s="199" t="s">
        <v>729</v>
      </c>
      <c r="C72" s="198" t="s">
        <v>97</v>
      </c>
      <c r="D72" s="17" t="s">
        <v>18</v>
      </c>
      <c r="E72" s="15">
        <v>0.78</v>
      </c>
      <c r="F72" s="275">
        <v>319.7</v>
      </c>
      <c r="G72" s="276">
        <f t="shared" si="10"/>
        <v>414.07543999999996</v>
      </c>
      <c r="H72" s="276">
        <f t="shared" si="11"/>
        <v>322.97884319999997</v>
      </c>
      <c r="J72" s="3"/>
    </row>
    <row r="73" spans="1:10" s="9" customFormat="1" ht="45" customHeight="1" x14ac:dyDescent="0.25">
      <c r="A73" s="6" t="s">
        <v>96</v>
      </c>
      <c r="B73" s="199" t="s">
        <v>531</v>
      </c>
      <c r="C73" s="284" t="s">
        <v>532</v>
      </c>
      <c r="D73" s="17" t="s">
        <v>26</v>
      </c>
      <c r="E73" s="15">
        <f>'MEC 01 '!E65</f>
        <v>1.9500000000000002</v>
      </c>
      <c r="F73" s="275">
        <v>40.54</v>
      </c>
      <c r="G73" s="276">
        <f t="shared" si="10"/>
        <v>52.507407999999998</v>
      </c>
      <c r="H73" s="276">
        <f t="shared" si="11"/>
        <v>102.3894456</v>
      </c>
      <c r="J73" s="3"/>
    </row>
    <row r="74" spans="1:10" s="9" customFormat="1" ht="45" customHeight="1" x14ac:dyDescent="0.25">
      <c r="A74" s="6" t="s">
        <v>98</v>
      </c>
      <c r="B74" s="199" t="str">
        <f>'MEC 01 '!B66</f>
        <v>ED-49940</v>
      </c>
      <c r="C74" s="198" t="str">
        <f>'MEC 01 '!C66</f>
        <v>TESTEIRA PARA BANCADA EM GRANITO, COR CINZA ANDORINHA, ESP. 2CM, ALTURA DE 3CM, INCLUSIVE POLIMENTO,CORTE/ COLAGEM EM MEIA ESQUADARIA E MASSA PLÁSTICA NA COR DA PEDRA</v>
      </c>
      <c r="D74" s="199" t="str">
        <f>'MEC 01 '!D66</f>
        <v>M</v>
      </c>
      <c r="E74" s="15">
        <f>'MEC 01 '!E66</f>
        <v>1.9500000000000002</v>
      </c>
      <c r="F74" s="275">
        <v>141.80000000000001</v>
      </c>
      <c r="G74" s="276">
        <f t="shared" si="10"/>
        <v>183.65936000000002</v>
      </c>
      <c r="H74" s="276">
        <f t="shared" si="11"/>
        <v>358.13575200000008</v>
      </c>
      <c r="J74" s="3"/>
    </row>
    <row r="75" spans="1:10" s="9" customFormat="1" ht="59.4" customHeight="1" x14ac:dyDescent="0.25">
      <c r="A75" s="6" t="s">
        <v>99</v>
      </c>
      <c r="B75" s="199" t="s">
        <v>730</v>
      </c>
      <c r="C75" s="20" t="s">
        <v>226</v>
      </c>
      <c r="D75" s="17" t="s">
        <v>258</v>
      </c>
      <c r="E75" s="15">
        <v>1</v>
      </c>
      <c r="F75" s="275">
        <v>316.3</v>
      </c>
      <c r="G75" s="276">
        <f t="shared" si="10"/>
        <v>409.67176000000001</v>
      </c>
      <c r="H75" s="276">
        <f t="shared" si="11"/>
        <v>409.67176000000001</v>
      </c>
      <c r="J75" s="3"/>
    </row>
    <row r="76" spans="1:10" s="229" customFormat="1" ht="54" customHeight="1" x14ac:dyDescent="0.25">
      <c r="A76" s="6" t="s">
        <v>100</v>
      </c>
      <c r="B76" s="199" t="s">
        <v>731</v>
      </c>
      <c r="C76" s="20" t="s">
        <v>227</v>
      </c>
      <c r="D76" s="17" t="s">
        <v>258</v>
      </c>
      <c r="E76" s="15">
        <v>1</v>
      </c>
      <c r="F76" s="275">
        <v>129.72</v>
      </c>
      <c r="G76" s="276">
        <f t="shared" si="10"/>
        <v>168.01334400000002</v>
      </c>
      <c r="H76" s="276">
        <f t="shared" si="11"/>
        <v>168.01334400000002</v>
      </c>
      <c r="J76" s="230"/>
    </row>
    <row r="77" spans="1:10" s="229" customFormat="1" ht="81.75" customHeight="1" x14ac:dyDescent="0.25">
      <c r="A77" s="6" t="s">
        <v>101</v>
      </c>
      <c r="B77" s="199" t="s">
        <v>732</v>
      </c>
      <c r="C77" s="20" t="s">
        <v>228</v>
      </c>
      <c r="D77" s="17" t="s">
        <v>258</v>
      </c>
      <c r="E77" s="15">
        <v>1</v>
      </c>
      <c r="F77" s="275">
        <v>503.49</v>
      </c>
      <c r="G77" s="276">
        <f t="shared" si="10"/>
        <v>652.12024800000006</v>
      </c>
      <c r="H77" s="276">
        <f t="shared" si="11"/>
        <v>652.12024800000006</v>
      </c>
      <c r="J77" s="230"/>
    </row>
    <row r="78" spans="1:10" s="229" customFormat="1" ht="69" customHeight="1" x14ac:dyDescent="0.25">
      <c r="A78" s="6" t="s">
        <v>102</v>
      </c>
      <c r="B78" s="70" t="s">
        <v>535</v>
      </c>
      <c r="C78" s="20" t="s">
        <v>536</v>
      </c>
      <c r="D78" s="17" t="s">
        <v>258</v>
      </c>
      <c r="E78" s="16">
        <v>1</v>
      </c>
      <c r="F78" s="275">
        <v>363.36</v>
      </c>
      <c r="G78" s="276">
        <f t="shared" si="10"/>
        <v>470.62387200000001</v>
      </c>
      <c r="H78" s="276">
        <f t="shared" si="11"/>
        <v>470.62387200000001</v>
      </c>
      <c r="I78" s="19"/>
      <c r="J78" s="230"/>
    </row>
    <row r="79" spans="1:10" s="229" customFormat="1" ht="39.75" customHeight="1" x14ac:dyDescent="0.25">
      <c r="A79" s="6" t="s">
        <v>103</v>
      </c>
      <c r="B79" s="199" t="s">
        <v>733</v>
      </c>
      <c r="C79" s="285" t="s">
        <v>229</v>
      </c>
      <c r="D79" s="17" t="s">
        <v>258</v>
      </c>
      <c r="E79" s="15">
        <v>2</v>
      </c>
      <c r="F79" s="275">
        <v>56.08</v>
      </c>
      <c r="G79" s="276">
        <f t="shared" si="10"/>
        <v>72.634816000000001</v>
      </c>
      <c r="H79" s="276">
        <f t="shared" si="11"/>
        <v>145.269632</v>
      </c>
      <c r="J79" s="230"/>
    </row>
    <row r="80" spans="1:10" s="229" customFormat="1" ht="42" customHeight="1" x14ac:dyDescent="0.25">
      <c r="A80" s="6" t="s">
        <v>104</v>
      </c>
      <c r="B80" s="70" t="s">
        <v>734</v>
      </c>
      <c r="C80" s="20" t="s">
        <v>230</v>
      </c>
      <c r="D80" s="17" t="s">
        <v>258</v>
      </c>
      <c r="E80" s="15">
        <v>1</v>
      </c>
      <c r="F80" s="275">
        <v>38.11</v>
      </c>
      <c r="G80" s="276">
        <f t="shared" si="10"/>
        <v>49.360072000000002</v>
      </c>
      <c r="H80" s="276">
        <f t="shared" si="11"/>
        <v>49.360072000000002</v>
      </c>
      <c r="J80" s="230"/>
    </row>
    <row r="81" spans="1:10" s="9" customFormat="1" ht="18" customHeight="1" x14ac:dyDescent="0.25">
      <c r="A81" s="615">
        <v>8</v>
      </c>
      <c r="B81" s="200" t="s">
        <v>105</v>
      </c>
      <c r="C81" s="201" t="s">
        <v>106</v>
      </c>
      <c r="D81" s="202"/>
      <c r="E81" s="203"/>
      <c r="F81" s="273"/>
      <c r="G81" s="274"/>
      <c r="H81" s="616">
        <f>SUM(H82:H113)</f>
        <v>29762.401318080003</v>
      </c>
    </row>
    <row r="82" spans="1:10" s="9" customFormat="1" ht="59.4" customHeight="1" x14ac:dyDescent="0.25">
      <c r="A82" s="6" t="s">
        <v>107</v>
      </c>
      <c r="B82" s="199" t="s">
        <v>547</v>
      </c>
      <c r="C82" s="20" t="s">
        <v>548</v>
      </c>
      <c r="D82" s="17" t="s">
        <v>258</v>
      </c>
      <c r="E82" s="15">
        <f>'MEC 01 '!E74</f>
        <v>1</v>
      </c>
      <c r="F82" s="275">
        <v>2469.66</v>
      </c>
      <c r="G82" s="276">
        <f>F82+(F82*$H$11)</f>
        <v>3198.7036319999997</v>
      </c>
      <c r="H82" s="276">
        <f>E82*G82</f>
        <v>3198.7036319999997</v>
      </c>
      <c r="J82" s="3"/>
    </row>
    <row r="83" spans="1:10" s="9" customFormat="1" ht="29.25" customHeight="1" x14ac:dyDescent="0.25">
      <c r="A83" s="6" t="s">
        <v>108</v>
      </c>
      <c r="B83" s="199" t="s">
        <v>549</v>
      </c>
      <c r="C83" s="198" t="s">
        <v>550</v>
      </c>
      <c r="D83" s="17" t="s">
        <v>258</v>
      </c>
      <c r="E83" s="15">
        <f>'MEC 01 '!E75</f>
        <v>1</v>
      </c>
      <c r="F83" s="275">
        <v>315.33999999999997</v>
      </c>
      <c r="G83" s="276">
        <f>F83+(F83*$H$11)</f>
        <v>408.42836799999998</v>
      </c>
      <c r="H83" s="276">
        <f t="shared" ref="H83:H87" si="12">E83*G83</f>
        <v>408.42836799999998</v>
      </c>
      <c r="J83" s="3"/>
    </row>
    <row r="84" spans="1:10" s="9" customFormat="1" ht="19.95" customHeight="1" x14ac:dyDescent="0.25">
      <c r="A84" s="6" t="s">
        <v>109</v>
      </c>
      <c r="B84" s="70" t="s">
        <v>735</v>
      </c>
      <c r="C84" s="198" t="s">
        <v>139</v>
      </c>
      <c r="D84" s="17" t="s">
        <v>258</v>
      </c>
      <c r="E84" s="15">
        <v>4</v>
      </c>
      <c r="F84" s="275">
        <v>18.09</v>
      </c>
      <c r="G84" s="276">
        <f t="shared" ref="G84:G87" si="13">F84+(F84*$H$11)</f>
        <v>23.430168000000002</v>
      </c>
      <c r="H84" s="276">
        <f t="shared" si="12"/>
        <v>93.720672000000008</v>
      </c>
      <c r="J84" s="3"/>
    </row>
    <row r="85" spans="1:10" s="9" customFormat="1" ht="19.95" customHeight="1" x14ac:dyDescent="0.25">
      <c r="A85" s="6" t="s">
        <v>110</v>
      </c>
      <c r="B85" s="70" t="s">
        <v>736</v>
      </c>
      <c r="C85" s="198" t="s">
        <v>140</v>
      </c>
      <c r="D85" s="17" t="s">
        <v>258</v>
      </c>
      <c r="E85" s="15">
        <v>3</v>
      </c>
      <c r="F85" s="275">
        <v>18.09</v>
      </c>
      <c r="G85" s="276">
        <f t="shared" si="13"/>
        <v>23.430168000000002</v>
      </c>
      <c r="H85" s="276">
        <f t="shared" si="12"/>
        <v>70.290503999999999</v>
      </c>
      <c r="J85" s="3"/>
    </row>
    <row r="86" spans="1:10" s="9" customFormat="1" ht="19.95" customHeight="1" x14ac:dyDescent="0.25">
      <c r="A86" s="6" t="s">
        <v>111</v>
      </c>
      <c r="B86" s="70" t="s">
        <v>737</v>
      </c>
      <c r="C86" s="198" t="s">
        <v>141</v>
      </c>
      <c r="D86" s="17" t="s">
        <v>258</v>
      </c>
      <c r="E86" s="15">
        <v>2</v>
      </c>
      <c r="F86" s="275">
        <v>53.93</v>
      </c>
      <c r="G86" s="276">
        <f t="shared" si="13"/>
        <v>69.850136000000006</v>
      </c>
      <c r="H86" s="276">
        <f t="shared" si="12"/>
        <v>139.70027200000001</v>
      </c>
      <c r="J86" s="3"/>
    </row>
    <row r="87" spans="1:10" s="9" customFormat="1" ht="19.95" customHeight="1" x14ac:dyDescent="0.25">
      <c r="A87" s="6" t="s">
        <v>112</v>
      </c>
      <c r="B87" s="70" t="s">
        <v>738</v>
      </c>
      <c r="C87" s="198" t="s">
        <v>142</v>
      </c>
      <c r="D87" s="17" t="s">
        <v>258</v>
      </c>
      <c r="E87" s="15">
        <v>1</v>
      </c>
      <c r="F87" s="275">
        <v>65.260000000000005</v>
      </c>
      <c r="G87" s="276">
        <f t="shared" si="13"/>
        <v>84.524752000000007</v>
      </c>
      <c r="H87" s="276">
        <f t="shared" si="12"/>
        <v>84.524752000000007</v>
      </c>
      <c r="J87" s="3"/>
    </row>
    <row r="88" spans="1:10" s="286" customFormat="1" ht="29.25" customHeight="1" x14ac:dyDescent="0.25">
      <c r="A88" s="6" t="s">
        <v>113</v>
      </c>
      <c r="B88" s="70" t="s">
        <v>739</v>
      </c>
      <c r="C88" s="20" t="s">
        <v>231</v>
      </c>
      <c r="D88" s="17" t="s">
        <v>258</v>
      </c>
      <c r="E88" s="15">
        <v>5</v>
      </c>
      <c r="F88" s="275">
        <v>87.32</v>
      </c>
      <c r="G88" s="283">
        <f t="shared" si="10"/>
        <v>113.096864</v>
      </c>
      <c r="H88" s="283">
        <f t="shared" si="11"/>
        <v>565.48432000000003</v>
      </c>
      <c r="J88" s="287"/>
    </row>
    <row r="89" spans="1:10" s="286" customFormat="1" ht="29.25" customHeight="1" x14ac:dyDescent="0.25">
      <c r="A89" s="6" t="s">
        <v>114</v>
      </c>
      <c r="B89" s="70" t="s">
        <v>740</v>
      </c>
      <c r="C89" s="20" t="s">
        <v>232</v>
      </c>
      <c r="D89" s="17" t="s">
        <v>258</v>
      </c>
      <c r="E89" s="15">
        <v>5</v>
      </c>
      <c r="F89" s="275">
        <v>159.24</v>
      </c>
      <c r="G89" s="283">
        <f t="shared" si="10"/>
        <v>206.24764800000003</v>
      </c>
      <c r="H89" s="283">
        <f t="shared" si="11"/>
        <v>1031.2382400000001</v>
      </c>
      <c r="J89" s="287"/>
    </row>
    <row r="90" spans="1:10" s="9" customFormat="1" ht="45" customHeight="1" x14ac:dyDescent="0.25">
      <c r="A90" s="6" t="s">
        <v>115</v>
      </c>
      <c r="B90" s="70" t="s">
        <v>539</v>
      </c>
      <c r="C90" s="284" t="s">
        <v>540</v>
      </c>
      <c r="D90" s="17" t="s">
        <v>258</v>
      </c>
      <c r="E90" s="15">
        <v>31</v>
      </c>
      <c r="F90" s="275">
        <v>8.31</v>
      </c>
      <c r="G90" s="276">
        <f t="shared" si="10"/>
        <v>10.763112000000001</v>
      </c>
      <c r="H90" s="276">
        <f t="shared" si="11"/>
        <v>333.65647200000006</v>
      </c>
      <c r="J90" s="3"/>
    </row>
    <row r="91" spans="1:10" s="9" customFormat="1" ht="45" customHeight="1" x14ac:dyDescent="0.25">
      <c r="A91" s="6" t="s">
        <v>116</v>
      </c>
      <c r="B91" s="199" t="s">
        <v>541</v>
      </c>
      <c r="C91" s="284" t="s">
        <v>542</v>
      </c>
      <c r="D91" s="17" t="s">
        <v>258</v>
      </c>
      <c r="E91" s="15">
        <v>9</v>
      </c>
      <c r="F91" s="275">
        <v>9.9499999999999993</v>
      </c>
      <c r="G91" s="276">
        <f t="shared" si="10"/>
        <v>12.887239999999998</v>
      </c>
      <c r="H91" s="276">
        <f t="shared" si="11"/>
        <v>115.98515999999998</v>
      </c>
      <c r="J91" s="3"/>
    </row>
    <row r="92" spans="1:10" s="9" customFormat="1" ht="45" customHeight="1" x14ac:dyDescent="0.25">
      <c r="A92" s="6" t="s">
        <v>117</v>
      </c>
      <c r="B92" s="199" t="s">
        <v>543</v>
      </c>
      <c r="C92" s="284" t="s">
        <v>544</v>
      </c>
      <c r="D92" s="17" t="s">
        <v>258</v>
      </c>
      <c r="E92" s="15">
        <v>71</v>
      </c>
      <c r="F92" s="275">
        <v>7.5</v>
      </c>
      <c r="G92" s="276">
        <f t="shared" si="10"/>
        <v>9.7140000000000004</v>
      </c>
      <c r="H92" s="276">
        <f t="shared" si="11"/>
        <v>689.69400000000007</v>
      </c>
      <c r="J92" s="3"/>
    </row>
    <row r="93" spans="1:10" s="286" customFormat="1" ht="29.25" customHeight="1" x14ac:dyDescent="0.25">
      <c r="A93" s="6" t="s">
        <v>118</v>
      </c>
      <c r="B93" s="199" t="s">
        <v>545</v>
      </c>
      <c r="C93" s="20" t="s">
        <v>546</v>
      </c>
      <c r="D93" s="17" t="s">
        <v>258</v>
      </c>
      <c r="E93" s="15">
        <v>3</v>
      </c>
      <c r="F93" s="275">
        <v>79.2</v>
      </c>
      <c r="G93" s="283">
        <f t="shared" si="10"/>
        <v>102.57984</v>
      </c>
      <c r="H93" s="283">
        <f t="shared" si="11"/>
        <v>307.73952000000003</v>
      </c>
      <c r="J93" s="287"/>
    </row>
    <row r="94" spans="1:10" s="286" customFormat="1" ht="29.25" customHeight="1" x14ac:dyDescent="0.25">
      <c r="A94" s="6" t="s">
        <v>119</v>
      </c>
      <c r="B94" s="70" t="s">
        <v>741</v>
      </c>
      <c r="C94" s="20" t="s">
        <v>233</v>
      </c>
      <c r="D94" s="17" t="s">
        <v>150</v>
      </c>
      <c r="E94" s="15">
        <v>2</v>
      </c>
      <c r="F94" s="275">
        <v>29.12</v>
      </c>
      <c r="G94" s="283">
        <f t="shared" si="10"/>
        <v>37.716224000000004</v>
      </c>
      <c r="H94" s="283">
        <f t="shared" si="11"/>
        <v>75.432448000000008</v>
      </c>
      <c r="J94" s="287"/>
    </row>
    <row r="95" spans="1:10" s="286" customFormat="1" ht="19.95" customHeight="1" x14ac:dyDescent="0.25">
      <c r="A95" s="6" t="s">
        <v>120</v>
      </c>
      <c r="B95" s="70" t="s">
        <v>742</v>
      </c>
      <c r="C95" s="20" t="s">
        <v>144</v>
      </c>
      <c r="D95" s="17" t="s">
        <v>150</v>
      </c>
      <c r="E95" s="15">
        <v>1</v>
      </c>
      <c r="F95" s="275">
        <v>22.46</v>
      </c>
      <c r="G95" s="283">
        <f t="shared" ref="G95:G104" si="14">F95+(F95*$H$11)</f>
        <v>29.090192000000002</v>
      </c>
      <c r="H95" s="283">
        <f t="shared" ref="H95:H104" si="15">E95*G95</f>
        <v>29.090192000000002</v>
      </c>
      <c r="J95" s="287"/>
    </row>
    <row r="96" spans="1:10" s="286" customFormat="1" ht="29.25" customHeight="1" x14ac:dyDescent="0.25">
      <c r="A96" s="6" t="s">
        <v>121</v>
      </c>
      <c r="B96" s="70" t="s">
        <v>743</v>
      </c>
      <c r="C96" s="20" t="s">
        <v>145</v>
      </c>
      <c r="D96" s="17" t="s">
        <v>150</v>
      </c>
      <c r="E96" s="15">
        <v>1</v>
      </c>
      <c r="F96" s="275">
        <v>27.09</v>
      </c>
      <c r="G96" s="283">
        <f t="shared" si="14"/>
        <v>35.086967999999999</v>
      </c>
      <c r="H96" s="283">
        <f t="shared" si="15"/>
        <v>35.086967999999999</v>
      </c>
      <c r="J96" s="287"/>
    </row>
    <row r="97" spans="1:10" s="286" customFormat="1" ht="19.95" customHeight="1" x14ac:dyDescent="0.25">
      <c r="A97" s="6" t="s">
        <v>122</v>
      </c>
      <c r="B97" s="70" t="s">
        <v>744</v>
      </c>
      <c r="C97" s="20" t="s">
        <v>146</v>
      </c>
      <c r="D97" s="17" t="s">
        <v>258</v>
      </c>
      <c r="E97" s="15">
        <v>2</v>
      </c>
      <c r="F97" s="275">
        <v>31.25</v>
      </c>
      <c r="G97" s="283">
        <f t="shared" si="14"/>
        <v>40.475000000000001</v>
      </c>
      <c r="H97" s="283">
        <f t="shared" si="15"/>
        <v>80.95</v>
      </c>
      <c r="J97" s="287"/>
    </row>
    <row r="98" spans="1:10" s="286" customFormat="1" ht="19.95" customHeight="1" x14ac:dyDescent="0.25">
      <c r="A98" s="6" t="s">
        <v>123</v>
      </c>
      <c r="B98" s="70" t="s">
        <v>745</v>
      </c>
      <c r="C98" s="20" t="s">
        <v>143</v>
      </c>
      <c r="D98" s="17" t="s">
        <v>258</v>
      </c>
      <c r="E98" s="15">
        <v>11</v>
      </c>
      <c r="F98" s="275">
        <v>13.57</v>
      </c>
      <c r="G98" s="283">
        <f t="shared" si="14"/>
        <v>17.575864000000003</v>
      </c>
      <c r="H98" s="283">
        <f t="shared" si="15"/>
        <v>193.33450400000004</v>
      </c>
      <c r="J98" s="287"/>
    </row>
    <row r="99" spans="1:10" s="286" customFormat="1" ht="19.95" customHeight="1" x14ac:dyDescent="0.25">
      <c r="A99" s="6" t="s">
        <v>124</v>
      </c>
      <c r="B99" s="70" t="s">
        <v>746</v>
      </c>
      <c r="C99" s="20" t="s">
        <v>236</v>
      </c>
      <c r="D99" s="17" t="s">
        <v>258</v>
      </c>
      <c r="E99" s="15">
        <v>3</v>
      </c>
      <c r="F99" s="275">
        <v>14.42</v>
      </c>
      <c r="G99" s="283">
        <f t="shared" si="14"/>
        <v>18.676784000000001</v>
      </c>
      <c r="H99" s="283">
        <f t="shared" si="15"/>
        <v>56.030352000000008</v>
      </c>
      <c r="J99" s="287"/>
    </row>
    <row r="100" spans="1:10" s="286" customFormat="1" ht="19.95" customHeight="1" x14ac:dyDescent="0.25">
      <c r="A100" s="6" t="s">
        <v>125</v>
      </c>
      <c r="B100" s="70" t="s">
        <v>747</v>
      </c>
      <c r="C100" s="20" t="s">
        <v>149</v>
      </c>
      <c r="D100" s="17" t="s">
        <v>150</v>
      </c>
      <c r="E100" s="15">
        <v>3</v>
      </c>
      <c r="F100" s="275">
        <v>23.96</v>
      </c>
      <c r="G100" s="283">
        <f t="shared" si="14"/>
        <v>31.032992</v>
      </c>
      <c r="H100" s="283">
        <f t="shared" si="15"/>
        <v>93.098975999999993</v>
      </c>
      <c r="J100" s="287"/>
    </row>
    <row r="101" spans="1:10" s="286" customFormat="1" ht="19.95" customHeight="1" x14ac:dyDescent="0.25">
      <c r="A101" s="6" t="s">
        <v>126</v>
      </c>
      <c r="B101" s="70" t="s">
        <v>748</v>
      </c>
      <c r="C101" s="20" t="s">
        <v>148</v>
      </c>
      <c r="D101" s="17" t="s">
        <v>258</v>
      </c>
      <c r="E101" s="15">
        <v>30</v>
      </c>
      <c r="F101" s="275">
        <v>23.23</v>
      </c>
      <c r="G101" s="283">
        <f t="shared" si="14"/>
        <v>30.087496000000002</v>
      </c>
      <c r="H101" s="283">
        <f t="shared" si="15"/>
        <v>902.62488000000008</v>
      </c>
      <c r="J101" s="287"/>
    </row>
    <row r="102" spans="1:10" s="286" customFormat="1" ht="19.95" customHeight="1" x14ac:dyDescent="0.25">
      <c r="A102" s="6" t="s">
        <v>127</v>
      </c>
      <c r="B102" s="70" t="s">
        <v>749</v>
      </c>
      <c r="C102" s="20" t="s">
        <v>238</v>
      </c>
      <c r="D102" s="17" t="s">
        <v>258</v>
      </c>
      <c r="E102" s="15">
        <v>4</v>
      </c>
      <c r="F102" s="275">
        <v>26.55</v>
      </c>
      <c r="G102" s="283">
        <f t="shared" si="14"/>
        <v>34.387560000000001</v>
      </c>
      <c r="H102" s="283">
        <f t="shared" si="15"/>
        <v>137.55024</v>
      </c>
      <c r="J102" s="287"/>
    </row>
    <row r="103" spans="1:10" s="286" customFormat="1" ht="29.25" customHeight="1" x14ac:dyDescent="0.25">
      <c r="A103" s="6" t="s">
        <v>128</v>
      </c>
      <c r="B103" s="204" t="s">
        <v>568</v>
      </c>
      <c r="C103" s="20" t="s">
        <v>551</v>
      </c>
      <c r="D103" s="17" t="s">
        <v>258</v>
      </c>
      <c r="E103" s="15">
        <v>1</v>
      </c>
      <c r="F103" s="275">
        <f>'COMPOSIÇÃO DE CUSTO'!G3</f>
        <v>299.39749999999998</v>
      </c>
      <c r="G103" s="283">
        <f t="shared" si="14"/>
        <v>387.77964199999997</v>
      </c>
      <c r="H103" s="283">
        <f t="shared" si="15"/>
        <v>387.77964199999997</v>
      </c>
      <c r="J103" s="287"/>
    </row>
    <row r="104" spans="1:10" s="286" customFormat="1" ht="29.25" customHeight="1" x14ac:dyDescent="0.25">
      <c r="A104" s="6" t="s">
        <v>129</v>
      </c>
      <c r="B104" s="204" t="s">
        <v>580</v>
      </c>
      <c r="C104" s="20" t="s">
        <v>562</v>
      </c>
      <c r="D104" s="17" t="s">
        <v>258</v>
      </c>
      <c r="E104" s="15">
        <v>4</v>
      </c>
      <c r="F104" s="275">
        <f>'COMPOSIÇÃO DE CUSTO'!G11</f>
        <v>144.16749999999999</v>
      </c>
      <c r="G104" s="283">
        <f t="shared" si="14"/>
        <v>186.72574599999999</v>
      </c>
      <c r="H104" s="283">
        <f t="shared" si="15"/>
        <v>746.90298399999995</v>
      </c>
      <c r="J104" s="287"/>
    </row>
    <row r="105" spans="1:10" s="286" customFormat="1" ht="29.25" customHeight="1" x14ac:dyDescent="0.25">
      <c r="A105" s="6" t="s">
        <v>130</v>
      </c>
      <c r="B105" s="199" t="s">
        <v>552</v>
      </c>
      <c r="C105" s="20" t="s">
        <v>553</v>
      </c>
      <c r="D105" s="17" t="s">
        <v>26</v>
      </c>
      <c r="E105" s="15">
        <f>'MEC 01 '!E97</f>
        <v>12.4</v>
      </c>
      <c r="F105" s="275">
        <v>7.54</v>
      </c>
      <c r="G105" s="283">
        <f t="shared" si="10"/>
        <v>9.7658079999999998</v>
      </c>
      <c r="H105" s="283">
        <f t="shared" si="11"/>
        <v>121.0960192</v>
      </c>
      <c r="J105" s="287"/>
    </row>
    <row r="106" spans="1:10" s="286" customFormat="1" ht="29.25" customHeight="1" x14ac:dyDescent="0.25">
      <c r="A106" s="6" t="s">
        <v>131</v>
      </c>
      <c r="B106" s="70" t="s">
        <v>750</v>
      </c>
      <c r="C106" s="20" t="s">
        <v>234</v>
      </c>
      <c r="D106" s="17" t="s">
        <v>26</v>
      </c>
      <c r="E106" s="15">
        <f>'MEC 01 '!E98</f>
        <v>353.37</v>
      </c>
      <c r="F106" s="275">
        <v>6.79</v>
      </c>
      <c r="G106" s="283">
        <f t="shared" si="10"/>
        <v>8.7944080000000007</v>
      </c>
      <c r="H106" s="283">
        <f t="shared" si="11"/>
        <v>3107.6799549600005</v>
      </c>
      <c r="J106" s="287"/>
    </row>
    <row r="107" spans="1:10" s="9" customFormat="1" ht="45" customHeight="1" x14ac:dyDescent="0.25">
      <c r="A107" s="6" t="s">
        <v>132</v>
      </c>
      <c r="B107" s="199" t="s">
        <v>554</v>
      </c>
      <c r="C107" s="284" t="s">
        <v>555</v>
      </c>
      <c r="D107" s="17" t="s">
        <v>26</v>
      </c>
      <c r="E107" s="15">
        <v>1074</v>
      </c>
      <c r="F107" s="275">
        <v>4.1399999999999997</v>
      </c>
      <c r="G107" s="276">
        <f t="shared" si="10"/>
        <v>5.3621279999999993</v>
      </c>
      <c r="H107" s="276">
        <f t="shared" si="11"/>
        <v>5758.925471999999</v>
      </c>
      <c r="J107" s="3"/>
    </row>
    <row r="108" spans="1:10" s="9" customFormat="1" ht="45" customHeight="1" x14ac:dyDescent="0.25">
      <c r="A108" s="6" t="s">
        <v>133</v>
      </c>
      <c r="B108" s="199" t="s">
        <v>556</v>
      </c>
      <c r="C108" s="284" t="s">
        <v>557</v>
      </c>
      <c r="D108" s="17" t="s">
        <v>26</v>
      </c>
      <c r="E108" s="15">
        <v>238</v>
      </c>
      <c r="F108" s="275">
        <v>2.56</v>
      </c>
      <c r="G108" s="276">
        <f t="shared" si="10"/>
        <v>3.315712</v>
      </c>
      <c r="H108" s="276">
        <f t="shared" si="11"/>
        <v>789.139456</v>
      </c>
      <c r="J108" s="3"/>
    </row>
    <row r="109" spans="1:10" s="9" customFormat="1" ht="45" customHeight="1" x14ac:dyDescent="0.25">
      <c r="A109" s="6" t="s">
        <v>134</v>
      </c>
      <c r="B109" s="199" t="s">
        <v>558</v>
      </c>
      <c r="C109" s="284" t="s">
        <v>561</v>
      </c>
      <c r="D109" s="17" t="s">
        <v>26</v>
      </c>
      <c r="E109" s="15">
        <v>56.74</v>
      </c>
      <c r="F109" s="275">
        <v>5.79</v>
      </c>
      <c r="G109" s="276">
        <f t="shared" si="10"/>
        <v>7.4992080000000003</v>
      </c>
      <c r="H109" s="276">
        <f t="shared" si="11"/>
        <v>425.50506192000006</v>
      </c>
      <c r="J109" s="3"/>
    </row>
    <row r="110" spans="1:10" s="9" customFormat="1" ht="45" customHeight="1" x14ac:dyDescent="0.25">
      <c r="A110" s="6" t="s">
        <v>135</v>
      </c>
      <c r="B110" s="199" t="s">
        <v>559</v>
      </c>
      <c r="C110" s="284" t="s">
        <v>560</v>
      </c>
      <c r="D110" s="17" t="s">
        <v>26</v>
      </c>
      <c r="E110" s="15">
        <v>180</v>
      </c>
      <c r="F110" s="275">
        <v>26.66</v>
      </c>
      <c r="G110" s="276">
        <f t="shared" si="10"/>
        <v>34.530031999999999</v>
      </c>
      <c r="H110" s="276">
        <f t="shared" si="11"/>
        <v>6215.4057599999996</v>
      </c>
      <c r="J110" s="3"/>
    </row>
    <row r="111" spans="1:10" s="286" customFormat="1" ht="29.25" customHeight="1" x14ac:dyDescent="0.25">
      <c r="A111" s="6" t="s">
        <v>136</v>
      </c>
      <c r="B111" s="70" t="s">
        <v>751</v>
      </c>
      <c r="C111" s="20" t="s">
        <v>235</v>
      </c>
      <c r="D111" s="17" t="s">
        <v>26</v>
      </c>
      <c r="E111" s="15">
        <v>22</v>
      </c>
      <c r="F111" s="275">
        <v>18.84</v>
      </c>
      <c r="G111" s="283">
        <f t="shared" si="10"/>
        <v>24.401568000000001</v>
      </c>
      <c r="H111" s="283">
        <f t="shared" si="11"/>
        <v>536.83449600000006</v>
      </c>
      <c r="J111" s="287"/>
    </row>
    <row r="112" spans="1:10" s="9" customFormat="1" ht="45" customHeight="1" x14ac:dyDescent="0.25">
      <c r="A112" s="6" t="s">
        <v>137</v>
      </c>
      <c r="B112" s="70" t="s">
        <v>752</v>
      </c>
      <c r="C112" s="284" t="s">
        <v>237</v>
      </c>
      <c r="D112" s="17" t="s">
        <v>258</v>
      </c>
      <c r="E112" s="15">
        <v>39</v>
      </c>
      <c r="F112" s="275">
        <v>47.98</v>
      </c>
      <c r="G112" s="276">
        <f t="shared" si="10"/>
        <v>62.143695999999998</v>
      </c>
      <c r="H112" s="276">
        <f t="shared" si="11"/>
        <v>2423.6041439999999</v>
      </c>
      <c r="J112" s="3"/>
    </row>
    <row r="113" spans="1:10" s="9" customFormat="1" ht="45" customHeight="1" x14ac:dyDescent="0.25">
      <c r="A113" s="6" t="s">
        <v>138</v>
      </c>
      <c r="B113" s="199" t="s">
        <v>582</v>
      </c>
      <c r="C113" s="284" t="s">
        <v>583</v>
      </c>
      <c r="D113" s="17" t="s">
        <v>258</v>
      </c>
      <c r="E113" s="15">
        <f>E112</f>
        <v>39</v>
      </c>
      <c r="F113" s="275">
        <v>12.02</v>
      </c>
      <c r="G113" s="276">
        <f t="shared" ref="G113" si="16">F113+(F113*$H$11)</f>
        <v>15.568303999999999</v>
      </c>
      <c r="H113" s="276">
        <f t="shared" ref="H113" si="17">E113*G113</f>
        <v>607.16385600000001</v>
      </c>
      <c r="J113" s="3"/>
    </row>
    <row r="114" spans="1:10" s="9" customFormat="1" ht="18" customHeight="1" x14ac:dyDescent="0.25">
      <c r="A114" s="615">
        <v>9</v>
      </c>
      <c r="B114" s="200" t="s">
        <v>151</v>
      </c>
      <c r="C114" s="201" t="s">
        <v>152</v>
      </c>
      <c r="D114" s="202"/>
      <c r="E114" s="203"/>
      <c r="F114" s="273"/>
      <c r="G114" s="274"/>
      <c r="H114" s="616">
        <f>SUM(H115:H115)</f>
        <v>2475.7100399999999</v>
      </c>
    </row>
    <row r="115" spans="1:10" s="9" customFormat="1" ht="45" customHeight="1" x14ac:dyDescent="0.25">
      <c r="A115" s="6" t="s">
        <v>153</v>
      </c>
      <c r="B115" s="70" t="s">
        <v>753</v>
      </c>
      <c r="C115" s="317" t="s">
        <v>600</v>
      </c>
      <c r="D115" s="17" t="s">
        <v>8</v>
      </c>
      <c r="E115" s="15">
        <f>'MEC 01 '!E107</f>
        <v>3</v>
      </c>
      <c r="F115" s="275">
        <v>637.15</v>
      </c>
      <c r="G115" s="276">
        <f t="shared" si="10"/>
        <v>825.23667999999998</v>
      </c>
      <c r="H115" s="276">
        <f t="shared" si="11"/>
        <v>2475.7100399999999</v>
      </c>
      <c r="J115" s="3"/>
    </row>
    <row r="116" spans="1:10" s="9" customFormat="1" ht="18" customHeight="1" x14ac:dyDescent="0.25">
      <c r="A116" s="615">
        <v>10</v>
      </c>
      <c r="B116" s="200" t="s">
        <v>154</v>
      </c>
      <c r="C116" s="318" t="s">
        <v>155</v>
      </c>
      <c r="D116" s="202"/>
      <c r="E116" s="203"/>
      <c r="F116" s="273"/>
      <c r="G116" s="274"/>
      <c r="H116" s="616">
        <f>SUM(H117:H124)</f>
        <v>40261.913462863995</v>
      </c>
    </row>
    <row r="117" spans="1:10" s="9" customFormat="1" ht="49.2" customHeight="1" x14ac:dyDescent="0.25">
      <c r="A117" s="6" t="s">
        <v>156</v>
      </c>
      <c r="B117" s="70" t="s">
        <v>754</v>
      </c>
      <c r="C117" s="284" t="str">
        <f>'MEC 01 '!C109</f>
        <v>FORNECIMENTO E ASSENTAMENTO DE JANELA DE ALUMÍNIO, LINHA SUPREMA ACABAMENTO ANODIZADO, TIPO BASCULA COM CONTRAMARCO, INCLUSIVE FORNECIMENTO DE VIDRO LISO DE 4MM, FERRAGENS E ACESSÓRIOS</v>
      </c>
      <c r="D117" s="17" t="s">
        <v>18</v>
      </c>
      <c r="E117" s="15">
        <f>'MEC 01 '!E109</f>
        <v>12.8</v>
      </c>
      <c r="F117" s="275">
        <v>398.43</v>
      </c>
      <c r="G117" s="276">
        <f t="shared" ref="G117:G179" si="18">F117+(F117*$H$11)</f>
        <v>516.04653600000006</v>
      </c>
      <c r="H117" s="276">
        <f t="shared" ref="H117:H179" si="19">E117*G117</f>
        <v>6605.3956608000008</v>
      </c>
      <c r="J117" s="3"/>
    </row>
    <row r="118" spans="1:10" s="9" customFormat="1" ht="49.2" customHeight="1" x14ac:dyDescent="0.25">
      <c r="A118" s="6" t="s">
        <v>157</v>
      </c>
      <c r="B118" s="70" t="s">
        <v>755</v>
      </c>
      <c r="C118" s="284" t="str">
        <f>'MEC 01 '!C110</f>
        <v>FORNECIMENTO E ASSENTAMENTO DE JANELA DE ALUMÍNIO, LINHA SUPREMA ACABAMENTO ANODIZADO, TIPO CORRER COM CONTRAMARCO, INCLUSIVE FORNECIMENTO DE VIDRO LISO DE 4MM, FERRAGENS E ACESSÓRIOS</v>
      </c>
      <c r="D118" s="17" t="s">
        <v>18</v>
      </c>
      <c r="E118" s="15">
        <f>'MEC 01 '!E110</f>
        <v>4.1999999999999993</v>
      </c>
      <c r="F118" s="275">
        <v>413.61</v>
      </c>
      <c r="G118" s="276">
        <f t="shared" si="18"/>
        <v>535.707672</v>
      </c>
      <c r="H118" s="276">
        <f t="shared" si="19"/>
        <v>2249.9722223999997</v>
      </c>
      <c r="J118" s="3"/>
    </row>
    <row r="119" spans="1:10" s="286" customFormat="1" ht="29.25" customHeight="1" x14ac:dyDescent="0.25">
      <c r="A119" s="6" t="s">
        <v>158</v>
      </c>
      <c r="B119" s="70" t="s">
        <v>756</v>
      </c>
      <c r="C119" s="20" t="s">
        <v>606</v>
      </c>
      <c r="D119" s="17" t="s">
        <v>18</v>
      </c>
      <c r="E119" s="15">
        <f>'MEC 01 '!E111</f>
        <v>1.44</v>
      </c>
      <c r="F119" s="275">
        <v>321.22000000000003</v>
      </c>
      <c r="G119" s="276">
        <f t="shared" si="18"/>
        <v>416.04414400000007</v>
      </c>
      <c r="H119" s="276">
        <f t="shared" si="19"/>
        <v>599.10356736000006</v>
      </c>
      <c r="J119" s="287"/>
    </row>
    <row r="120" spans="1:10" s="9" customFormat="1" ht="45" customHeight="1" x14ac:dyDescent="0.25">
      <c r="A120" s="6" t="s">
        <v>603</v>
      </c>
      <c r="B120" s="70" t="s">
        <v>757</v>
      </c>
      <c r="C120" s="316" t="s">
        <v>159</v>
      </c>
      <c r="D120" s="17" t="s">
        <v>88</v>
      </c>
      <c r="E120" s="15">
        <f>'MEC 01 '!E112</f>
        <v>1</v>
      </c>
      <c r="F120" s="275">
        <v>200.84</v>
      </c>
      <c r="G120" s="276">
        <f t="shared" si="18"/>
        <v>260.12796800000001</v>
      </c>
      <c r="H120" s="276">
        <f t="shared" si="19"/>
        <v>260.12796800000001</v>
      </c>
      <c r="J120" s="3"/>
    </row>
    <row r="121" spans="1:10" s="286" customFormat="1" ht="29.25" customHeight="1" x14ac:dyDescent="0.25">
      <c r="A121" s="6" t="s">
        <v>604</v>
      </c>
      <c r="B121" s="70" t="s">
        <v>786</v>
      </c>
      <c r="C121" s="20" t="s">
        <v>586</v>
      </c>
      <c r="D121" s="17" t="s">
        <v>18</v>
      </c>
      <c r="E121" s="15">
        <f>'MEC 01 '!E113</f>
        <v>21.869999999999997</v>
      </c>
      <c r="F121" s="275">
        <v>828.07</v>
      </c>
      <c r="G121" s="283">
        <f t="shared" si="18"/>
        <v>1072.5162640000001</v>
      </c>
      <c r="H121" s="283">
        <f t="shared" si="19"/>
        <v>23455.930693679999</v>
      </c>
      <c r="J121" s="287"/>
    </row>
    <row r="122" spans="1:10" s="286" customFormat="1" ht="29.25" customHeight="1" x14ac:dyDescent="0.25">
      <c r="A122" s="6" t="s">
        <v>605</v>
      </c>
      <c r="B122" s="70" t="s">
        <v>785</v>
      </c>
      <c r="C122" s="20" t="s">
        <v>587</v>
      </c>
      <c r="D122" s="17" t="s">
        <v>258</v>
      </c>
      <c r="E122" s="15">
        <f>'MEC 01 '!E114</f>
        <v>6</v>
      </c>
      <c r="F122" s="275">
        <v>70.73</v>
      </c>
      <c r="G122" s="283">
        <f t="shared" si="18"/>
        <v>91.609496000000007</v>
      </c>
      <c r="H122" s="283">
        <f t="shared" si="19"/>
        <v>549.65697599999999</v>
      </c>
      <c r="J122" s="287"/>
    </row>
    <row r="123" spans="1:10" s="9" customFormat="1" ht="49.2" customHeight="1" x14ac:dyDescent="0.25">
      <c r="A123" s="6" t="s">
        <v>607</v>
      </c>
      <c r="B123" s="204" t="s">
        <v>591</v>
      </c>
      <c r="C123" s="284" t="str">
        <f>'COMPOSIÇÃO DE CUSTO'!C19</f>
        <v>FORNECIMENTO E ASSENTAMENTO DE PORTA DE ALUMÍNIO, LINHA SUPREMA ACABAMENTO ANODIZADO, TIPO CORRER, COM DUAS FOLHAS, INCLUSIVE FORNECIMENTO DE VIDRO LISO TEMPERADO DE 8MM, FERRAGENS E ACESSÓRIOS</v>
      </c>
      <c r="D123" s="17" t="s">
        <v>18</v>
      </c>
      <c r="E123" s="15">
        <f>'MEC 01 '!E115</f>
        <v>5.1599999999999993</v>
      </c>
      <c r="F123" s="275">
        <f>'COMPOSIÇÃO DE CUSTO'!G19</f>
        <v>626.00700000000006</v>
      </c>
      <c r="G123" s="276">
        <f t="shared" ref="G123" si="20">F123+(F123*$H$11)</f>
        <v>810.80426640000007</v>
      </c>
      <c r="H123" s="276">
        <f t="shared" ref="H123" si="21">E123*G123</f>
        <v>4183.750014624</v>
      </c>
      <c r="J123" s="3"/>
    </row>
    <row r="124" spans="1:10" s="286" customFormat="1" ht="29.25" customHeight="1" x14ac:dyDescent="0.25">
      <c r="A124" s="6" t="s">
        <v>682</v>
      </c>
      <c r="B124" s="199" t="s">
        <v>844</v>
      </c>
      <c r="C124" s="20" t="s">
        <v>845</v>
      </c>
      <c r="D124" s="17" t="s">
        <v>26</v>
      </c>
      <c r="E124" s="15">
        <f>'MEC 01 '!E116</f>
        <v>5</v>
      </c>
      <c r="F124" s="275">
        <v>364.11</v>
      </c>
      <c r="G124" s="276">
        <f t="shared" ref="G124" si="22">F124+(F124*$H$11)</f>
        <v>471.59527200000002</v>
      </c>
      <c r="H124" s="276">
        <f t="shared" ref="H124" si="23">E124*G124</f>
        <v>2357.9763600000001</v>
      </c>
      <c r="J124" s="287"/>
    </row>
    <row r="125" spans="1:10" s="9" customFormat="1" ht="18" customHeight="1" x14ac:dyDescent="0.25">
      <c r="A125" s="615">
        <v>11</v>
      </c>
      <c r="B125" s="200" t="s">
        <v>160</v>
      </c>
      <c r="C125" s="201" t="s">
        <v>161</v>
      </c>
      <c r="D125" s="202"/>
      <c r="E125" s="203"/>
      <c r="F125" s="273"/>
      <c r="G125" s="274"/>
      <c r="H125" s="616">
        <f>SUM(H126:H130)</f>
        <v>64952.750576032013</v>
      </c>
    </row>
    <row r="126" spans="1:10" s="9" customFormat="1" ht="45" customHeight="1" x14ac:dyDescent="0.25">
      <c r="A126" s="6" t="s">
        <v>162</v>
      </c>
      <c r="B126" s="70" t="s">
        <v>758</v>
      </c>
      <c r="C126" s="316" t="s">
        <v>239</v>
      </c>
      <c r="D126" s="17" t="s">
        <v>18</v>
      </c>
      <c r="E126" s="15">
        <f>'MEC 01 '!E118</f>
        <v>1181.896</v>
      </c>
      <c r="F126" s="275">
        <v>6.84</v>
      </c>
      <c r="G126" s="276">
        <f t="shared" si="18"/>
        <v>8.8591680000000004</v>
      </c>
      <c r="H126" s="276">
        <f t="shared" si="19"/>
        <v>10470.615222528</v>
      </c>
      <c r="J126" s="3"/>
    </row>
    <row r="127" spans="1:10" s="286" customFormat="1" ht="29.25" customHeight="1" x14ac:dyDescent="0.25">
      <c r="A127" s="6" t="s">
        <v>163</v>
      </c>
      <c r="B127" s="70" t="s">
        <v>759</v>
      </c>
      <c r="C127" s="20" t="s">
        <v>240</v>
      </c>
      <c r="D127" s="17" t="s">
        <v>18</v>
      </c>
      <c r="E127" s="15">
        <f>'MEC 01 '!E119</f>
        <v>1181.896</v>
      </c>
      <c r="F127" s="275">
        <v>24.67</v>
      </c>
      <c r="G127" s="283">
        <f t="shared" si="18"/>
        <v>31.952584000000002</v>
      </c>
      <c r="H127" s="283">
        <f t="shared" si="19"/>
        <v>37764.631219264003</v>
      </c>
      <c r="J127" s="287"/>
    </row>
    <row r="128" spans="1:10" s="286" customFormat="1" ht="29.25" customHeight="1" x14ac:dyDescent="0.25">
      <c r="A128" s="6" t="s">
        <v>164</v>
      </c>
      <c r="B128" s="199" t="s">
        <v>610</v>
      </c>
      <c r="C128" s="20" t="s">
        <v>842</v>
      </c>
      <c r="D128" s="17" t="s">
        <v>18</v>
      </c>
      <c r="E128" s="15">
        <f>E129</f>
        <v>129.59600000000003</v>
      </c>
      <c r="F128" s="275">
        <v>25.14</v>
      </c>
      <c r="G128" s="283">
        <f t="shared" ref="G128" si="24">F128+(F128*$H$11)</f>
        <v>32.561328000000003</v>
      </c>
      <c r="H128" s="283">
        <f t="shared" ref="H128" si="25">E128*G128</f>
        <v>4219.8178634880014</v>
      </c>
      <c r="J128" s="287"/>
    </row>
    <row r="129" spans="1:10" s="9" customFormat="1" ht="49.2" customHeight="1" x14ac:dyDescent="0.25">
      <c r="A129" s="6" t="s">
        <v>609</v>
      </c>
      <c r="B129" s="70" t="s">
        <v>613</v>
      </c>
      <c r="C129" s="20" t="s">
        <v>614</v>
      </c>
      <c r="D129" s="8" t="s">
        <v>18</v>
      </c>
      <c r="E129" s="15">
        <f>'MEC 01 '!E121</f>
        <v>129.59600000000003</v>
      </c>
      <c r="F129" s="275">
        <v>61.81</v>
      </c>
      <c r="G129" s="276">
        <f t="shared" si="18"/>
        <v>80.056312000000005</v>
      </c>
      <c r="H129" s="276">
        <f t="shared" si="19"/>
        <v>10374.977809952003</v>
      </c>
      <c r="J129" s="3"/>
    </row>
    <row r="130" spans="1:10" s="286" customFormat="1" ht="29.25" customHeight="1" x14ac:dyDescent="0.25">
      <c r="A130" s="6" t="s">
        <v>679</v>
      </c>
      <c r="B130" s="199" t="s">
        <v>677</v>
      </c>
      <c r="C130" s="20" t="s">
        <v>678</v>
      </c>
      <c r="D130" s="17" t="s">
        <v>26</v>
      </c>
      <c r="E130" s="15">
        <f>'MEC 01 '!E122</f>
        <v>93.92</v>
      </c>
      <c r="F130" s="275">
        <v>17.45</v>
      </c>
      <c r="G130" s="283">
        <f t="shared" ref="G130" si="26">F130+(F130*$H$11)</f>
        <v>22.601240000000001</v>
      </c>
      <c r="H130" s="283">
        <f t="shared" ref="H130" si="27">E130*G130</f>
        <v>2122.7084608</v>
      </c>
      <c r="J130" s="287"/>
    </row>
    <row r="131" spans="1:10" s="9" customFormat="1" ht="18" customHeight="1" x14ac:dyDescent="0.25">
      <c r="A131" s="615">
        <v>12</v>
      </c>
      <c r="B131" s="200" t="s">
        <v>165</v>
      </c>
      <c r="C131" s="201" t="s">
        <v>618</v>
      </c>
      <c r="D131" s="202"/>
      <c r="E131" s="203"/>
      <c r="F131" s="273"/>
      <c r="G131" s="274"/>
      <c r="H131" s="616">
        <f>SUM(H132:H139)</f>
        <v>46372.509411120001</v>
      </c>
    </row>
    <row r="132" spans="1:10" s="286" customFormat="1" ht="29.25" customHeight="1" x14ac:dyDescent="0.25">
      <c r="A132" s="6" t="s">
        <v>166</v>
      </c>
      <c r="B132" s="70" t="s">
        <v>760</v>
      </c>
      <c r="C132" s="20" t="s">
        <v>167</v>
      </c>
      <c r="D132" s="17" t="s">
        <v>18</v>
      </c>
      <c r="E132" s="15">
        <f>'MEC 01 '!E124</f>
        <v>229.54999999999998</v>
      </c>
      <c r="F132" s="275">
        <v>40.19</v>
      </c>
      <c r="G132" s="283">
        <f t="shared" si="18"/>
        <v>52.054088</v>
      </c>
      <c r="H132" s="283">
        <f t="shared" si="19"/>
        <v>11949.0159004</v>
      </c>
      <c r="J132" s="287"/>
    </row>
    <row r="133" spans="1:10" s="286" customFormat="1" ht="29.25" customHeight="1" x14ac:dyDescent="0.25">
      <c r="A133" s="6" t="s">
        <v>168</v>
      </c>
      <c r="B133" s="70" t="s">
        <v>761</v>
      </c>
      <c r="C133" s="20" t="s">
        <v>241</v>
      </c>
      <c r="D133" s="17" t="s">
        <v>18</v>
      </c>
      <c r="E133" s="15">
        <f>'MEC 01 '!E125</f>
        <v>229.54999999999998</v>
      </c>
      <c r="F133" s="275">
        <v>31.67</v>
      </c>
      <c r="G133" s="283">
        <f t="shared" si="18"/>
        <v>41.018984000000003</v>
      </c>
      <c r="H133" s="283">
        <f t="shared" si="19"/>
        <v>9415.9077772000001</v>
      </c>
      <c r="J133" s="287"/>
    </row>
    <row r="134" spans="1:10" s="9" customFormat="1" ht="49.2" customHeight="1" x14ac:dyDescent="0.25">
      <c r="A134" s="6" t="s">
        <v>169</v>
      </c>
      <c r="B134" s="70" t="s">
        <v>762</v>
      </c>
      <c r="C134" s="20" t="s">
        <v>242</v>
      </c>
      <c r="D134" s="8" t="s">
        <v>18</v>
      </c>
      <c r="E134" s="15">
        <f>'MEC 01 '!E126</f>
        <v>155.92999999999998</v>
      </c>
      <c r="F134" s="275">
        <v>78.72</v>
      </c>
      <c r="G134" s="276">
        <f t="shared" si="18"/>
        <v>101.958144</v>
      </c>
      <c r="H134" s="276">
        <f t="shared" si="19"/>
        <v>15898.333393919998</v>
      </c>
      <c r="J134" s="3"/>
    </row>
    <row r="135" spans="1:10" s="9" customFormat="1" ht="45" customHeight="1" x14ac:dyDescent="0.25">
      <c r="A135" s="6" t="s">
        <v>170</v>
      </c>
      <c r="B135" s="70" t="s">
        <v>763</v>
      </c>
      <c r="C135" s="316" t="s">
        <v>243</v>
      </c>
      <c r="D135" s="17" t="s">
        <v>18</v>
      </c>
      <c r="E135" s="15">
        <f>'MEC 01 '!E127</f>
        <v>79.89</v>
      </c>
      <c r="F135" s="275">
        <v>43.82</v>
      </c>
      <c r="G135" s="276">
        <f t="shared" si="18"/>
        <v>56.755664000000003</v>
      </c>
      <c r="H135" s="276">
        <f t="shared" si="19"/>
        <v>4534.2099969600004</v>
      </c>
      <c r="J135" s="3"/>
    </row>
    <row r="136" spans="1:10" s="9" customFormat="1" ht="45" customHeight="1" x14ac:dyDescent="0.25">
      <c r="A136" s="6" t="s">
        <v>171</v>
      </c>
      <c r="B136" s="70" t="s">
        <v>764</v>
      </c>
      <c r="C136" s="316" t="s">
        <v>244</v>
      </c>
      <c r="D136" s="17" t="s">
        <v>26</v>
      </c>
      <c r="E136" s="15">
        <f>'MEC 01 '!E128</f>
        <v>153.77000000000001</v>
      </c>
      <c r="F136" s="275">
        <v>10.17</v>
      </c>
      <c r="G136" s="276">
        <f t="shared" si="18"/>
        <v>13.172184</v>
      </c>
      <c r="H136" s="276">
        <f t="shared" si="19"/>
        <v>2025.48673368</v>
      </c>
      <c r="J136" s="3"/>
    </row>
    <row r="137" spans="1:10" s="286" customFormat="1" ht="29.25" customHeight="1" x14ac:dyDescent="0.25">
      <c r="A137" s="6" t="s">
        <v>172</v>
      </c>
      <c r="B137" s="199" t="s">
        <v>616</v>
      </c>
      <c r="C137" s="20" t="s">
        <v>617</v>
      </c>
      <c r="D137" s="17" t="s">
        <v>18</v>
      </c>
      <c r="E137" s="15">
        <f>'MEC 01 '!E129</f>
        <v>2.1600000000000006</v>
      </c>
      <c r="F137" s="275">
        <v>247.28</v>
      </c>
      <c r="G137" s="283">
        <f t="shared" si="18"/>
        <v>320.27705600000002</v>
      </c>
      <c r="H137" s="283">
        <f t="shared" si="19"/>
        <v>691.79844096000022</v>
      </c>
      <c r="J137" s="287"/>
    </row>
    <row r="138" spans="1:10" s="286" customFormat="1" ht="29.25" customHeight="1" x14ac:dyDescent="0.25">
      <c r="A138" s="6" t="s">
        <v>621</v>
      </c>
      <c r="B138" s="199" t="s">
        <v>619</v>
      </c>
      <c r="C138" s="319" t="s">
        <v>620</v>
      </c>
      <c r="D138" s="17" t="s">
        <v>18</v>
      </c>
      <c r="E138" s="15">
        <f>'MEC 01 '!E130</f>
        <v>4.58</v>
      </c>
      <c r="F138" s="275">
        <v>244.5</v>
      </c>
      <c r="G138" s="283">
        <f t="shared" ref="G138" si="28">F138+(F138*$H$11)</f>
        <v>316.6764</v>
      </c>
      <c r="H138" s="283">
        <f t="shared" ref="H138" si="29">E138*G138</f>
        <v>1450.3779119999999</v>
      </c>
      <c r="J138" s="287"/>
    </row>
    <row r="139" spans="1:10" s="286" customFormat="1" ht="29.25" customHeight="1" x14ac:dyDescent="0.25">
      <c r="A139" s="6" t="s">
        <v>689</v>
      </c>
      <c r="B139" s="199" t="s">
        <v>687</v>
      </c>
      <c r="C139" s="285" t="s">
        <v>688</v>
      </c>
      <c r="D139" s="17" t="s">
        <v>258</v>
      </c>
      <c r="E139" s="15">
        <v>1</v>
      </c>
      <c r="F139" s="275">
        <v>314.52999999999997</v>
      </c>
      <c r="G139" s="283">
        <f t="shared" ref="G139" si="30">F139+(F139*$H$11)</f>
        <v>407.37925599999994</v>
      </c>
      <c r="H139" s="283">
        <f t="shared" ref="H139" si="31">E139*G139</f>
        <v>407.37925599999994</v>
      </c>
      <c r="J139" s="287"/>
    </row>
    <row r="140" spans="1:10" s="9" customFormat="1" ht="18" customHeight="1" x14ac:dyDescent="0.25">
      <c r="A140" s="615">
        <v>13</v>
      </c>
      <c r="B140" s="200" t="s">
        <v>173</v>
      </c>
      <c r="C140" s="320" t="s">
        <v>174</v>
      </c>
      <c r="D140" s="202"/>
      <c r="E140" s="203"/>
      <c r="F140" s="273"/>
      <c r="G140" s="274"/>
      <c r="H140" s="616">
        <f>SUM(H141:H147)</f>
        <v>23536.801867808008</v>
      </c>
    </row>
    <row r="141" spans="1:10" s="286" customFormat="1" ht="29.25" customHeight="1" x14ac:dyDescent="0.25">
      <c r="A141" s="6" t="s">
        <v>175</v>
      </c>
      <c r="B141" s="70" t="s">
        <v>765</v>
      </c>
      <c r="C141" s="20" t="s">
        <v>245</v>
      </c>
      <c r="D141" s="17" t="s">
        <v>18</v>
      </c>
      <c r="E141" s="15">
        <f>'MEC 01 '!E133</f>
        <v>902.65200000000016</v>
      </c>
      <c r="F141" s="275">
        <v>4.83</v>
      </c>
      <c r="G141" s="283">
        <f t="shared" si="18"/>
        <v>6.2558160000000003</v>
      </c>
      <c r="H141" s="283">
        <f t="shared" si="19"/>
        <v>5646.8248240320008</v>
      </c>
      <c r="J141" s="287"/>
    </row>
    <row r="142" spans="1:10" s="286" customFormat="1" ht="29.25" customHeight="1" x14ac:dyDescent="0.25">
      <c r="A142" s="6" t="s">
        <v>176</v>
      </c>
      <c r="B142" s="70" t="s">
        <v>766</v>
      </c>
      <c r="C142" s="20" t="s">
        <v>246</v>
      </c>
      <c r="D142" s="17" t="s">
        <v>18</v>
      </c>
      <c r="E142" s="15">
        <f>E141</f>
        <v>902.65200000000016</v>
      </c>
      <c r="F142" s="275">
        <v>11.58</v>
      </c>
      <c r="G142" s="283">
        <f t="shared" si="18"/>
        <v>14.998416000000001</v>
      </c>
      <c r="H142" s="283">
        <f t="shared" si="19"/>
        <v>13538.350199232003</v>
      </c>
      <c r="J142" s="287"/>
    </row>
    <row r="143" spans="1:10" s="286" customFormat="1" ht="29.25" customHeight="1" x14ac:dyDescent="0.25">
      <c r="A143" s="6" t="s">
        <v>177</v>
      </c>
      <c r="B143" s="70" t="s">
        <v>767</v>
      </c>
      <c r="C143" s="20" t="str">
        <f>'MEC 01 '!C135</f>
        <v xml:space="preserve">PREPARAÇÃO PARA EMASSAMENTO OU PINTURA (LÁTEX/ACRÍLICA) EM TETO, INCLUSIVE UMA (1) DEMÃO DE SELADOR ACRÍLICO </v>
      </c>
      <c r="D143" s="17" t="str">
        <f>'MEC 01 '!D135</f>
        <v>M2</v>
      </c>
      <c r="E143" s="15">
        <f>'MEC 01 '!E135</f>
        <v>149.648</v>
      </c>
      <c r="F143" s="275">
        <v>6.13</v>
      </c>
      <c r="G143" s="283">
        <f t="shared" ref="G143:G144" si="32">F143+(F143*$H$11)</f>
        <v>7.9395759999999997</v>
      </c>
      <c r="H143" s="283">
        <f t="shared" ref="H143:H144" si="33">E143*G143</f>
        <v>1188.141669248</v>
      </c>
      <c r="J143" s="287"/>
    </row>
    <row r="144" spans="1:10" s="286" customFormat="1" ht="29.25" customHeight="1" x14ac:dyDescent="0.25">
      <c r="A144" s="6" t="s">
        <v>178</v>
      </c>
      <c r="B144" s="70" t="s">
        <v>768</v>
      </c>
      <c r="C144" s="20" t="str">
        <f>'MEC 01 '!C136</f>
        <v>PINTURA ACRÍLICA EM TETO, DUAS (2) DEMÃOS, EXCLUSIVE SELADOR ACRÍLICO E MASSA ACRÍLICA/CORRIDA (PVA)</v>
      </c>
      <c r="D144" s="17" t="str">
        <f>'MEC 01 '!D136</f>
        <v>M2</v>
      </c>
      <c r="E144" s="15">
        <f>'MEC 01 '!E136</f>
        <v>149.648</v>
      </c>
      <c r="F144" s="275">
        <v>12.81</v>
      </c>
      <c r="G144" s="283">
        <f t="shared" si="32"/>
        <v>16.591512000000002</v>
      </c>
      <c r="H144" s="283">
        <f t="shared" si="33"/>
        <v>2482.8865877760004</v>
      </c>
      <c r="J144" s="287"/>
    </row>
    <row r="145" spans="1:10" s="286" customFormat="1" ht="29.25" customHeight="1" x14ac:dyDescent="0.25">
      <c r="A145" s="6" t="s">
        <v>179</v>
      </c>
      <c r="B145" s="70" t="s">
        <v>769</v>
      </c>
      <c r="C145" s="20" t="s">
        <v>247</v>
      </c>
      <c r="D145" s="17" t="s">
        <v>18</v>
      </c>
      <c r="E145" s="15">
        <f>'MEC 01 '!E137</f>
        <v>11.34</v>
      </c>
      <c r="F145" s="275">
        <v>26.09</v>
      </c>
      <c r="G145" s="283">
        <f t="shared" si="18"/>
        <v>33.791767999999998</v>
      </c>
      <c r="H145" s="283">
        <f t="shared" si="19"/>
        <v>383.19864911999997</v>
      </c>
      <c r="J145" s="287"/>
    </row>
    <row r="146" spans="1:10" s="9" customFormat="1" ht="38.4" customHeight="1" x14ac:dyDescent="0.25">
      <c r="A146" s="6" t="s">
        <v>338</v>
      </c>
      <c r="B146" s="70" t="s">
        <v>770</v>
      </c>
      <c r="C146" s="20" t="s">
        <v>248</v>
      </c>
      <c r="D146" s="17" t="s">
        <v>18</v>
      </c>
      <c r="E146" s="15">
        <f>'MEC 01 '!E138</f>
        <v>11.34</v>
      </c>
      <c r="F146" s="275">
        <v>18.55</v>
      </c>
      <c r="G146" s="276">
        <f t="shared" si="18"/>
        <v>24.025960000000001</v>
      </c>
      <c r="H146" s="276">
        <f t="shared" si="19"/>
        <v>272.45438640000003</v>
      </c>
      <c r="J146" s="3"/>
    </row>
    <row r="147" spans="1:10" s="286" customFormat="1" ht="29.25" customHeight="1" x14ac:dyDescent="0.25">
      <c r="A147" s="6" t="s">
        <v>339</v>
      </c>
      <c r="B147" s="70" t="s">
        <v>771</v>
      </c>
      <c r="C147" s="20" t="s">
        <v>249</v>
      </c>
      <c r="D147" s="17" t="s">
        <v>18</v>
      </c>
      <c r="E147" s="15">
        <f>'MEC 01 '!E139</f>
        <v>0.72</v>
      </c>
      <c r="F147" s="275">
        <v>26.75</v>
      </c>
      <c r="G147" s="283">
        <f t="shared" si="18"/>
        <v>34.646599999999999</v>
      </c>
      <c r="H147" s="283">
        <f t="shared" si="19"/>
        <v>24.945551999999999</v>
      </c>
      <c r="J147" s="287"/>
    </row>
    <row r="148" spans="1:10" s="9" customFormat="1" ht="18" customHeight="1" x14ac:dyDescent="0.25">
      <c r="A148" s="615">
        <v>14</v>
      </c>
      <c r="B148" s="200" t="s">
        <v>183</v>
      </c>
      <c r="C148" s="201" t="s">
        <v>625</v>
      </c>
      <c r="D148" s="202"/>
      <c r="E148" s="203"/>
      <c r="F148" s="273"/>
      <c r="G148" s="274"/>
      <c r="H148" s="616">
        <f>SUM(H149:H159)</f>
        <v>5517.1893440000003</v>
      </c>
    </row>
    <row r="149" spans="1:10" s="9" customFormat="1" ht="25.5" customHeight="1" x14ac:dyDescent="0.25">
      <c r="A149" s="6" t="s">
        <v>180</v>
      </c>
      <c r="B149" s="70" t="s">
        <v>772</v>
      </c>
      <c r="C149" s="198" t="s">
        <v>182</v>
      </c>
      <c r="D149" s="17" t="s">
        <v>258</v>
      </c>
      <c r="E149" s="15">
        <f>'MEC 01 '!E141</f>
        <v>7</v>
      </c>
      <c r="F149" s="275">
        <v>99.08</v>
      </c>
      <c r="G149" s="276">
        <f t="shared" ref="G149" si="34">F149+(F149*$H$11)</f>
        <v>128.328416</v>
      </c>
      <c r="H149" s="276">
        <f t="shared" ref="H149" si="35">E149*G149</f>
        <v>898.29891199999997</v>
      </c>
      <c r="J149" s="3"/>
    </row>
    <row r="150" spans="1:10" s="9" customFormat="1" ht="44.4" customHeight="1" x14ac:dyDescent="0.25">
      <c r="A150" s="6" t="s">
        <v>181</v>
      </c>
      <c r="B150" s="70" t="s">
        <v>773</v>
      </c>
      <c r="C150" s="20" t="s">
        <v>250</v>
      </c>
      <c r="D150" s="17" t="s">
        <v>258</v>
      </c>
      <c r="E150" s="15">
        <f>'MEC 01 '!E142</f>
        <v>1</v>
      </c>
      <c r="F150" s="275">
        <v>215.57</v>
      </c>
      <c r="G150" s="276">
        <f t="shared" si="18"/>
        <v>279.20626399999998</v>
      </c>
      <c r="H150" s="276">
        <f t="shared" si="19"/>
        <v>279.20626399999998</v>
      </c>
      <c r="J150" s="3"/>
    </row>
    <row r="151" spans="1:10" s="9" customFormat="1" ht="46.2" customHeight="1" x14ac:dyDescent="0.25">
      <c r="A151" s="6" t="s">
        <v>626</v>
      </c>
      <c r="B151" s="70" t="s">
        <v>774</v>
      </c>
      <c r="C151" s="20" t="s">
        <v>251</v>
      </c>
      <c r="D151" s="17" t="s">
        <v>258</v>
      </c>
      <c r="E151" s="15">
        <f>'MEC 01 '!E143</f>
        <v>1</v>
      </c>
      <c r="F151" s="275">
        <v>224.96</v>
      </c>
      <c r="G151" s="276">
        <f t="shared" si="18"/>
        <v>291.36819200000002</v>
      </c>
      <c r="H151" s="276">
        <f t="shared" si="19"/>
        <v>291.36819200000002</v>
      </c>
      <c r="J151" s="3"/>
    </row>
    <row r="152" spans="1:10" s="9" customFormat="1" ht="45" customHeight="1" x14ac:dyDescent="0.25">
      <c r="A152" s="6" t="s">
        <v>627</v>
      </c>
      <c r="B152" s="70" t="s">
        <v>775</v>
      </c>
      <c r="C152" s="20" t="s">
        <v>252</v>
      </c>
      <c r="D152" s="17" t="s">
        <v>258</v>
      </c>
      <c r="E152" s="15">
        <f>'MEC 01 '!E144</f>
        <v>2</v>
      </c>
      <c r="F152" s="275">
        <v>99.88</v>
      </c>
      <c r="G152" s="276">
        <f t="shared" si="18"/>
        <v>129.364576</v>
      </c>
      <c r="H152" s="276">
        <f t="shared" si="19"/>
        <v>258.729152</v>
      </c>
      <c r="J152" s="3"/>
    </row>
    <row r="153" spans="1:10" s="286" customFormat="1" ht="29.25" customHeight="1" x14ac:dyDescent="0.25">
      <c r="A153" s="6" t="s">
        <v>628</v>
      </c>
      <c r="B153" s="70" t="s">
        <v>787</v>
      </c>
      <c r="C153" s="20" t="s">
        <v>633</v>
      </c>
      <c r="D153" s="17" t="s">
        <v>258</v>
      </c>
      <c r="E153" s="15">
        <f>'MEC 01 '!E145</f>
        <v>1</v>
      </c>
      <c r="F153" s="275">
        <v>548.87</v>
      </c>
      <c r="G153" s="283">
        <f t="shared" si="18"/>
        <v>710.89642400000002</v>
      </c>
      <c r="H153" s="276">
        <f t="shared" si="19"/>
        <v>710.89642400000002</v>
      </c>
      <c r="J153" s="287"/>
    </row>
    <row r="154" spans="1:10" s="9" customFormat="1" ht="25.5" customHeight="1" x14ac:dyDescent="0.25">
      <c r="A154" s="6" t="s">
        <v>629</v>
      </c>
      <c r="B154" s="70" t="s">
        <v>776</v>
      </c>
      <c r="C154" s="198" t="s">
        <v>191</v>
      </c>
      <c r="D154" s="17" t="s">
        <v>258</v>
      </c>
      <c r="E154" s="15">
        <f>'MEC 01 '!E146</f>
        <v>6</v>
      </c>
      <c r="F154" s="275">
        <v>25.54</v>
      </c>
      <c r="G154" s="276">
        <f t="shared" si="18"/>
        <v>33.079408000000001</v>
      </c>
      <c r="H154" s="276">
        <f t="shared" si="19"/>
        <v>198.476448</v>
      </c>
      <c r="J154" s="3"/>
    </row>
    <row r="155" spans="1:10" s="9" customFormat="1" ht="25.5" customHeight="1" x14ac:dyDescent="0.25">
      <c r="A155" s="6" t="s">
        <v>630</v>
      </c>
      <c r="B155" s="199" t="s">
        <v>638</v>
      </c>
      <c r="C155" s="198" t="s">
        <v>639</v>
      </c>
      <c r="D155" s="17" t="s">
        <v>258</v>
      </c>
      <c r="E155" s="15">
        <f>'MEC 01 '!E147</f>
        <v>1</v>
      </c>
      <c r="F155" s="275">
        <v>104.87</v>
      </c>
      <c r="G155" s="276">
        <f t="shared" si="18"/>
        <v>135.82762400000001</v>
      </c>
      <c r="H155" s="276">
        <f t="shared" si="19"/>
        <v>135.82762400000001</v>
      </c>
      <c r="J155" s="3"/>
    </row>
    <row r="156" spans="1:10" s="9" customFormat="1" ht="25.5" customHeight="1" x14ac:dyDescent="0.25">
      <c r="A156" s="6" t="s">
        <v>631</v>
      </c>
      <c r="B156" s="70" t="s">
        <v>777</v>
      </c>
      <c r="C156" s="198" t="s">
        <v>192</v>
      </c>
      <c r="D156" s="17" t="s">
        <v>258</v>
      </c>
      <c r="E156" s="15">
        <f>'MEC 01 '!E148</f>
        <v>7</v>
      </c>
      <c r="F156" s="275">
        <v>48.25</v>
      </c>
      <c r="G156" s="276">
        <f t="shared" si="18"/>
        <v>62.493400000000001</v>
      </c>
      <c r="H156" s="276">
        <f t="shared" si="19"/>
        <v>437.4538</v>
      </c>
      <c r="J156" s="3"/>
    </row>
    <row r="157" spans="1:10" s="9" customFormat="1" ht="25.5" customHeight="1" x14ac:dyDescent="0.25">
      <c r="A157" s="6" t="s">
        <v>632</v>
      </c>
      <c r="B157" s="70" t="s">
        <v>778</v>
      </c>
      <c r="C157" s="198" t="s">
        <v>193</v>
      </c>
      <c r="D157" s="17" t="s">
        <v>258</v>
      </c>
      <c r="E157" s="15">
        <f>'MEC 01 '!E149</f>
        <v>13</v>
      </c>
      <c r="F157" s="275">
        <v>27.22</v>
      </c>
      <c r="G157" s="276">
        <f t="shared" si="18"/>
        <v>35.255344000000001</v>
      </c>
      <c r="H157" s="276">
        <f t="shared" si="19"/>
        <v>458.31947200000002</v>
      </c>
      <c r="J157" s="3"/>
    </row>
    <row r="158" spans="1:10" s="9" customFormat="1" ht="25.5" customHeight="1" x14ac:dyDescent="0.25">
      <c r="A158" s="6" t="s">
        <v>634</v>
      </c>
      <c r="B158" s="70" t="s">
        <v>779</v>
      </c>
      <c r="C158" s="198" t="s">
        <v>253</v>
      </c>
      <c r="D158" s="17" t="s">
        <v>258</v>
      </c>
      <c r="E158" s="15">
        <f>'MEC 01 '!E150</f>
        <v>15</v>
      </c>
      <c r="F158" s="275">
        <v>50.38</v>
      </c>
      <c r="G158" s="276">
        <f t="shared" si="18"/>
        <v>65.252176000000006</v>
      </c>
      <c r="H158" s="276">
        <f t="shared" si="19"/>
        <v>978.78264000000013</v>
      </c>
      <c r="J158" s="3"/>
    </row>
    <row r="159" spans="1:10" s="9" customFormat="1" ht="27" customHeight="1" x14ac:dyDescent="0.25">
      <c r="A159" s="6" t="s">
        <v>642</v>
      </c>
      <c r="B159" s="70" t="s">
        <v>643</v>
      </c>
      <c r="C159" s="20" t="s">
        <v>644</v>
      </c>
      <c r="D159" s="8" t="s">
        <v>258</v>
      </c>
      <c r="E159" s="15">
        <f>'MEC 01 '!E151</f>
        <v>13</v>
      </c>
      <c r="F159" s="275">
        <v>51.66</v>
      </c>
      <c r="G159" s="276">
        <f t="shared" si="18"/>
        <v>66.910032000000001</v>
      </c>
      <c r="H159" s="276">
        <f t="shared" si="19"/>
        <v>869.83041600000001</v>
      </c>
      <c r="J159" s="3"/>
    </row>
    <row r="160" spans="1:10" s="9" customFormat="1" ht="18" customHeight="1" x14ac:dyDescent="0.25">
      <c r="A160" s="615">
        <v>15</v>
      </c>
      <c r="B160" s="200" t="s">
        <v>194</v>
      </c>
      <c r="C160" s="201" t="s">
        <v>195</v>
      </c>
      <c r="D160" s="202"/>
      <c r="E160" s="203"/>
      <c r="F160" s="273"/>
      <c r="G160" s="274"/>
      <c r="H160" s="616">
        <f>SUM(H161:H167)</f>
        <v>773.23440000000005</v>
      </c>
    </row>
    <row r="161" spans="1:10" s="392" customFormat="1" ht="25.5" customHeight="1" x14ac:dyDescent="0.25">
      <c r="A161" s="386" t="s">
        <v>184</v>
      </c>
      <c r="B161" s="387" t="s">
        <v>780</v>
      </c>
      <c r="C161" s="388" t="s">
        <v>208</v>
      </c>
      <c r="D161" s="389" t="s">
        <v>258</v>
      </c>
      <c r="E161" s="390">
        <v>1</v>
      </c>
      <c r="F161" s="391">
        <v>155.38999999999999</v>
      </c>
      <c r="G161" s="276">
        <f t="shared" si="18"/>
        <v>201.26112799999999</v>
      </c>
      <c r="H161" s="276">
        <f t="shared" si="19"/>
        <v>201.26112799999999</v>
      </c>
      <c r="J161" s="393"/>
    </row>
    <row r="162" spans="1:10" s="392" customFormat="1" ht="25.5" customHeight="1" x14ac:dyDescent="0.25">
      <c r="A162" s="386" t="s">
        <v>185</v>
      </c>
      <c r="B162" s="387" t="s">
        <v>781</v>
      </c>
      <c r="C162" s="388" t="s">
        <v>200</v>
      </c>
      <c r="D162" s="389" t="s">
        <v>258</v>
      </c>
      <c r="E162" s="390">
        <v>1</v>
      </c>
      <c r="F162" s="391">
        <v>47.88</v>
      </c>
      <c r="G162" s="276">
        <f t="shared" si="18"/>
        <v>62.014176000000006</v>
      </c>
      <c r="H162" s="276">
        <f t="shared" si="19"/>
        <v>62.014176000000006</v>
      </c>
      <c r="J162" s="393"/>
    </row>
    <row r="163" spans="1:10" s="321" customFormat="1" ht="25.5" customHeight="1" x14ac:dyDescent="0.25">
      <c r="A163" s="386" t="s">
        <v>186</v>
      </c>
      <c r="B163" s="387" t="str">
        <f>'COMPOSIÇÃO DE CUSTO'!B30</f>
        <v>COMP. 04</v>
      </c>
      <c r="C163" s="388" t="str">
        <f>'COMPOSIÇÃO DE CUSTO'!C30</f>
        <v>PLACA FOTOLUMINESCENTE "M1"  ((INDICAÇÃO DOS SISTEMAS DE PROTEÇÃO - CONFORME PROJETO) - INSTALADA</v>
      </c>
      <c r="D163" s="8" t="s">
        <v>258</v>
      </c>
      <c r="E163" s="390">
        <v>1</v>
      </c>
      <c r="F163" s="391">
        <f>'COMPOSIÇÃO DE CUSTO'!G30</f>
        <v>64.73</v>
      </c>
      <c r="G163" s="276">
        <f>F163+(F163*$H$11)</f>
        <v>83.838296000000014</v>
      </c>
      <c r="H163" s="276">
        <f>E163*G163</f>
        <v>83.838296000000014</v>
      </c>
      <c r="J163" s="322"/>
    </row>
    <row r="164" spans="1:10" s="321" customFormat="1" ht="25.5" customHeight="1" x14ac:dyDescent="0.25">
      <c r="A164" s="386" t="s">
        <v>187</v>
      </c>
      <c r="B164" s="387" t="str">
        <f>'COMPOSIÇÃO DE CUSTO'!B37</f>
        <v>COMP. 05</v>
      </c>
      <c r="C164" s="388" t="str">
        <f>'COMPOSIÇÃO DE CUSTO'!C37</f>
        <v>PLACA "M7"  ((INDICAÇÃO DOS SISTEMAS DE PROTEÇÃO - CONFORME PROJETO) - INSTALADA</v>
      </c>
      <c r="D164" s="8" t="s">
        <v>258</v>
      </c>
      <c r="E164" s="390">
        <v>1</v>
      </c>
      <c r="F164" s="391">
        <f>'COMPOSIÇÃO DE CUSTO'!G37</f>
        <v>25.48</v>
      </c>
      <c r="G164" s="276">
        <f t="shared" ref="G164:G166" si="36">F164+(F164*$H$11)</f>
        <v>33.001696000000003</v>
      </c>
      <c r="H164" s="276">
        <f t="shared" ref="H164:H166" si="37">E164*G164</f>
        <v>33.001696000000003</v>
      </c>
      <c r="J164" s="322"/>
    </row>
    <row r="165" spans="1:10" s="392" customFormat="1" ht="25.5" customHeight="1" x14ac:dyDescent="0.25">
      <c r="A165" s="386" t="s">
        <v>188</v>
      </c>
      <c r="B165" s="387" t="s">
        <v>660</v>
      </c>
      <c r="C165" s="388" t="s">
        <v>846</v>
      </c>
      <c r="D165" s="389" t="s">
        <v>258</v>
      </c>
      <c r="E165" s="390">
        <v>6</v>
      </c>
      <c r="F165" s="391">
        <v>19.7</v>
      </c>
      <c r="G165" s="276">
        <f t="shared" ref="G165" si="38">F165+(F165*$H$11)</f>
        <v>25.515439999999998</v>
      </c>
      <c r="H165" s="276">
        <f t="shared" ref="H165" si="39">E165*G165</f>
        <v>153.09263999999999</v>
      </c>
      <c r="J165" s="393"/>
    </row>
    <row r="166" spans="1:10" s="392" customFormat="1" ht="25.5" customHeight="1" x14ac:dyDescent="0.25">
      <c r="A166" s="386" t="s">
        <v>189</v>
      </c>
      <c r="B166" s="387" t="str">
        <f>'COMPOSIÇÃO DE CUSTO'!B44</f>
        <v>COMP. 06</v>
      </c>
      <c r="C166" s="388" t="str">
        <f>'COMPOSIÇÃO DE CUSTO'!C44</f>
        <v>APLICAÇÃO DE FAIXA/FITA ADESIVA EM SUPERFÍCIE PARA SINALIZAÇÃO, LARGURA DE 20CM - INSTALADA</v>
      </c>
      <c r="D166" s="389" t="str">
        <f>'COMPOSIÇÃO DE CUSTO'!D44</f>
        <v>M</v>
      </c>
      <c r="E166" s="390">
        <v>2.4</v>
      </c>
      <c r="F166" s="391">
        <f>'COMPOSIÇÃO DE CUSTO'!G44</f>
        <v>17</v>
      </c>
      <c r="G166" s="276">
        <f t="shared" si="36"/>
        <v>22.0184</v>
      </c>
      <c r="H166" s="276">
        <f t="shared" si="37"/>
        <v>52.844159999999995</v>
      </c>
      <c r="J166" s="393"/>
    </row>
    <row r="167" spans="1:10" s="392" customFormat="1" ht="25.5" customHeight="1" x14ac:dyDescent="0.25">
      <c r="A167" s="386" t="s">
        <v>190</v>
      </c>
      <c r="B167" s="387" t="s">
        <v>782</v>
      </c>
      <c r="C167" s="388" t="s">
        <v>201</v>
      </c>
      <c r="D167" s="389" t="s">
        <v>258</v>
      </c>
      <c r="E167" s="390">
        <v>2</v>
      </c>
      <c r="F167" s="391">
        <v>72.260000000000005</v>
      </c>
      <c r="G167" s="276">
        <f>F167+(F167*$H$11)</f>
        <v>93.591152000000008</v>
      </c>
      <c r="H167" s="276">
        <f>E167*G167</f>
        <v>187.18230400000002</v>
      </c>
      <c r="J167" s="393"/>
    </row>
    <row r="168" spans="1:10" s="9" customFormat="1" ht="18" customHeight="1" x14ac:dyDescent="0.25">
      <c r="A168" s="615">
        <v>16</v>
      </c>
      <c r="B168" s="200" t="s">
        <v>646</v>
      </c>
      <c r="C168" s="201" t="s">
        <v>645</v>
      </c>
      <c r="D168" s="202"/>
      <c r="E168" s="203"/>
      <c r="F168" s="273"/>
      <c r="G168" s="274"/>
      <c r="H168" s="616">
        <f>SUM(H169:H173)</f>
        <v>2640.0306004240001</v>
      </c>
    </row>
    <row r="169" spans="1:10" s="9" customFormat="1" ht="49.2" customHeight="1" x14ac:dyDescent="0.25">
      <c r="A169" s="6" t="s">
        <v>196</v>
      </c>
      <c r="B169" s="70" t="s">
        <v>655</v>
      </c>
      <c r="C169" s="20" t="s">
        <v>656</v>
      </c>
      <c r="D169" s="8" t="s">
        <v>26</v>
      </c>
      <c r="E169" s="15">
        <f>'MEC 01 '!E161</f>
        <v>24.669999999999998</v>
      </c>
      <c r="F169" s="275">
        <v>43.01</v>
      </c>
      <c r="G169" s="276">
        <f t="shared" ref="G169:G170" si="40">F169+(F169*$H$11)</f>
        <v>55.706552000000002</v>
      </c>
      <c r="H169" s="276">
        <f t="shared" ref="H169:H170" si="41">E169*G169</f>
        <v>1374.2806378400001</v>
      </c>
      <c r="J169" s="3"/>
    </row>
    <row r="170" spans="1:10" s="9" customFormat="1" ht="27" customHeight="1" x14ac:dyDescent="0.25">
      <c r="A170" s="6" t="s">
        <v>197</v>
      </c>
      <c r="B170" s="70" t="s">
        <v>647</v>
      </c>
      <c r="C170" s="20" t="s">
        <v>648</v>
      </c>
      <c r="D170" s="8" t="s">
        <v>18</v>
      </c>
      <c r="E170" s="15">
        <f>'MEC 01 '!E162</f>
        <v>21.6645</v>
      </c>
      <c r="F170" s="275">
        <v>17.46</v>
      </c>
      <c r="G170" s="276">
        <f t="shared" si="40"/>
        <v>22.614192000000003</v>
      </c>
      <c r="H170" s="276">
        <f t="shared" si="41"/>
        <v>489.92516258400008</v>
      </c>
      <c r="J170" s="3"/>
    </row>
    <row r="171" spans="1:10" s="9" customFormat="1" ht="27" customHeight="1" x14ac:dyDescent="0.25">
      <c r="A171" s="6" t="s">
        <v>198</v>
      </c>
      <c r="B171" s="70" t="s">
        <v>649</v>
      </c>
      <c r="C171" s="20" t="s">
        <v>650</v>
      </c>
      <c r="D171" s="8" t="s">
        <v>258</v>
      </c>
      <c r="E171" s="15">
        <f>'MEC 01 '!E163</f>
        <v>30</v>
      </c>
      <c r="F171" s="275">
        <v>8.9</v>
      </c>
      <c r="G171" s="276">
        <f t="shared" ref="G171" si="42">F171+(F171*$H$11)</f>
        <v>11.527280000000001</v>
      </c>
      <c r="H171" s="276">
        <f t="shared" ref="H171" si="43">E171*G171</f>
        <v>345.81840000000005</v>
      </c>
      <c r="J171" s="3"/>
    </row>
    <row r="172" spans="1:10" s="9" customFormat="1" ht="27" customHeight="1" x14ac:dyDescent="0.25">
      <c r="A172" s="6" t="s">
        <v>199</v>
      </c>
      <c r="B172" s="70" t="s">
        <v>651</v>
      </c>
      <c r="C172" s="20" t="s">
        <v>652</v>
      </c>
      <c r="D172" s="8" t="s">
        <v>18</v>
      </c>
      <c r="E172" s="15">
        <f>'MEC 01 '!E164</f>
        <v>16</v>
      </c>
      <c r="F172" s="275">
        <v>0.8</v>
      </c>
      <c r="G172" s="276">
        <f t="shared" ref="G172:G173" si="44">F172+(F172*$H$11)</f>
        <v>1.0361600000000002</v>
      </c>
      <c r="H172" s="276">
        <f t="shared" ref="H172:H173" si="45">E172*G172</f>
        <v>16.578560000000003</v>
      </c>
      <c r="J172" s="3"/>
    </row>
    <row r="173" spans="1:10" s="9" customFormat="1" ht="27" customHeight="1" x14ac:dyDescent="0.25">
      <c r="A173" s="6" t="s">
        <v>657</v>
      </c>
      <c r="B173" s="70" t="s">
        <v>653</v>
      </c>
      <c r="C173" s="20" t="s">
        <v>654</v>
      </c>
      <c r="D173" s="8" t="s">
        <v>258</v>
      </c>
      <c r="E173" s="15">
        <f>'MEC 01 '!E165</f>
        <v>14</v>
      </c>
      <c r="F173" s="275">
        <v>22.8</v>
      </c>
      <c r="G173" s="276">
        <f t="shared" si="44"/>
        <v>29.530560000000001</v>
      </c>
      <c r="H173" s="276">
        <f t="shared" si="45"/>
        <v>413.42784</v>
      </c>
      <c r="J173" s="3"/>
    </row>
    <row r="174" spans="1:10" s="9" customFormat="1" ht="18" customHeight="1" x14ac:dyDescent="0.25">
      <c r="A174" s="615">
        <v>17</v>
      </c>
      <c r="B174" s="200" t="s">
        <v>665</v>
      </c>
      <c r="C174" s="201" t="s">
        <v>661</v>
      </c>
      <c r="D174" s="202"/>
      <c r="E174" s="203"/>
      <c r="F174" s="273"/>
      <c r="G174" s="274"/>
      <c r="H174" s="616">
        <f>SUM(H175:H177)</f>
        <v>2787.5682960000004</v>
      </c>
    </row>
    <row r="175" spans="1:10" s="9" customFormat="1" ht="27" customHeight="1" x14ac:dyDescent="0.25">
      <c r="A175" s="6" t="s">
        <v>204</v>
      </c>
      <c r="B175" s="70" t="s">
        <v>663</v>
      </c>
      <c r="C175" s="20" t="s">
        <v>664</v>
      </c>
      <c r="D175" s="8" t="s">
        <v>258</v>
      </c>
      <c r="E175" s="15">
        <f>'MEC 01 '!E167</f>
        <v>12</v>
      </c>
      <c r="F175" s="275">
        <v>46.56</v>
      </c>
      <c r="G175" s="276">
        <f t="shared" ref="G175" si="46">F175+(F175*$H$11)</f>
        <v>60.304512000000003</v>
      </c>
      <c r="H175" s="276">
        <f t="shared" ref="H175" si="47">E175*G175</f>
        <v>723.65414400000009</v>
      </c>
      <c r="J175" s="3"/>
    </row>
    <row r="176" spans="1:10" s="9" customFormat="1" ht="27" customHeight="1" x14ac:dyDescent="0.25">
      <c r="A176" s="6" t="s">
        <v>662</v>
      </c>
      <c r="B176" s="70" t="s">
        <v>667</v>
      </c>
      <c r="C176" s="20" t="s">
        <v>843</v>
      </c>
      <c r="D176" s="8" t="s">
        <v>258</v>
      </c>
      <c r="E176" s="15">
        <f>'MEC 01 '!E168</f>
        <v>1</v>
      </c>
      <c r="F176" s="275">
        <v>743.91</v>
      </c>
      <c r="G176" s="276">
        <f t="shared" ref="G176:G177" si="48">F176+(F176*$H$11)</f>
        <v>963.51223200000004</v>
      </c>
      <c r="H176" s="276">
        <f t="shared" ref="H176:H177" si="49">E176*G176</f>
        <v>963.51223200000004</v>
      </c>
      <c r="J176" s="3"/>
    </row>
    <row r="177" spans="1:26" s="9" customFormat="1" ht="27" customHeight="1" x14ac:dyDescent="0.25">
      <c r="A177" s="6" t="s">
        <v>666</v>
      </c>
      <c r="B177" s="70" t="s">
        <v>669</v>
      </c>
      <c r="C177" s="20" t="s">
        <v>670</v>
      </c>
      <c r="D177" s="8" t="s">
        <v>671</v>
      </c>
      <c r="E177" s="15">
        <f>'MEC 01 '!E169</f>
        <v>1</v>
      </c>
      <c r="F177" s="275">
        <v>849.6</v>
      </c>
      <c r="G177" s="276">
        <f t="shared" si="48"/>
        <v>1100.40192</v>
      </c>
      <c r="H177" s="276">
        <f t="shared" si="49"/>
        <v>1100.40192</v>
      </c>
      <c r="J177" s="3"/>
    </row>
    <row r="178" spans="1:26" s="9" customFormat="1" ht="18" customHeight="1" x14ac:dyDescent="0.25">
      <c r="A178" s="615">
        <v>18</v>
      </c>
      <c r="B178" s="200" t="s">
        <v>202</v>
      </c>
      <c r="C178" s="201" t="s">
        <v>203</v>
      </c>
      <c r="D178" s="202"/>
      <c r="E178" s="203"/>
      <c r="F178" s="273"/>
      <c r="G178" s="274"/>
      <c r="H178" s="616">
        <f>H179</f>
        <v>1271.8397728</v>
      </c>
    </row>
    <row r="179" spans="1:26" s="9" customFormat="1" ht="27" customHeight="1" thickBot="1" x14ac:dyDescent="0.3">
      <c r="A179" s="6" t="s">
        <v>683</v>
      </c>
      <c r="B179" s="70" t="s">
        <v>783</v>
      </c>
      <c r="C179" s="20" t="s">
        <v>254</v>
      </c>
      <c r="D179" s="8" t="s">
        <v>18</v>
      </c>
      <c r="E179" s="15">
        <f>'MEC 01 '!E171</f>
        <v>193.3</v>
      </c>
      <c r="F179" s="275">
        <v>5.08</v>
      </c>
      <c r="G179" s="276">
        <f t="shared" si="18"/>
        <v>6.5796159999999997</v>
      </c>
      <c r="H179" s="276">
        <f t="shared" si="19"/>
        <v>1271.8397728</v>
      </c>
      <c r="J179" s="3"/>
    </row>
    <row r="180" spans="1:26" s="9" customFormat="1" ht="18" customHeight="1" x14ac:dyDescent="0.25">
      <c r="A180" s="617" t="s">
        <v>21</v>
      </c>
      <c r="B180" s="618"/>
      <c r="C180" s="618"/>
      <c r="D180" s="618"/>
      <c r="E180" s="618"/>
      <c r="F180" s="618"/>
      <c r="G180" s="619"/>
      <c r="H180" s="620">
        <f>H178+H174+H168+H160+H148+H140+H131+H125+H116+H114+H81+H53+H43+H36+H31+H26+H22+H14</f>
        <v>487256.7961226803</v>
      </c>
      <c r="J180" s="3"/>
    </row>
    <row r="181" spans="1:26" ht="12.75" customHeight="1" x14ac:dyDescent="0.25">
      <c r="A181" s="1"/>
      <c r="B181" s="1"/>
      <c r="C181" s="1"/>
      <c r="D181" s="1"/>
      <c r="E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5">
      <c r="A1001" s="1"/>
      <c r="B1001" s="1"/>
      <c r="C1001" s="1"/>
      <c r="D1001" s="1"/>
      <c r="E1001" s="1"/>
      <c r="I1001" s="1"/>
      <c r="J1001" s="1"/>
      <c r="K1001" s="1"/>
      <c r="L1001" s="1"/>
      <c r="M1001" s="1"/>
      <c r="N1001" s="1"/>
      <c r="O1001" s="1"/>
      <c r="P1001" s="1"/>
      <c r="Q1001" s="1"/>
      <c r="R1001" s="1"/>
      <c r="S1001" s="1"/>
      <c r="T1001" s="1"/>
      <c r="U1001" s="1"/>
      <c r="V1001" s="1"/>
      <c r="W1001" s="1"/>
      <c r="X1001" s="1"/>
      <c r="Y1001" s="1"/>
      <c r="Z1001" s="1"/>
    </row>
    <row r="1002" spans="1:26" ht="12.75" customHeight="1" x14ac:dyDescent="0.25">
      <c r="A1002" s="1"/>
      <c r="B1002" s="1"/>
      <c r="C1002" s="1"/>
      <c r="D1002" s="1"/>
      <c r="E1002" s="1"/>
      <c r="I1002" s="1"/>
      <c r="J1002" s="1"/>
      <c r="K1002" s="1"/>
      <c r="L1002" s="1"/>
      <c r="M1002" s="1"/>
      <c r="N1002" s="1"/>
      <c r="O1002" s="1"/>
      <c r="P1002" s="1"/>
      <c r="Q1002" s="1"/>
      <c r="R1002" s="1"/>
      <c r="S1002" s="1"/>
      <c r="T1002" s="1"/>
      <c r="U1002" s="1"/>
      <c r="V1002" s="1"/>
      <c r="W1002" s="1"/>
      <c r="X1002" s="1"/>
      <c r="Y1002" s="1"/>
      <c r="Z1002" s="1"/>
    </row>
    <row r="1003" spans="1:26" ht="12.75" customHeight="1" x14ac:dyDescent="0.25">
      <c r="A1003" s="1"/>
      <c r="B1003" s="1"/>
      <c r="C1003" s="1"/>
      <c r="D1003" s="1"/>
      <c r="E1003" s="1"/>
      <c r="I1003" s="1"/>
      <c r="J1003" s="1"/>
      <c r="K1003" s="1"/>
      <c r="L1003" s="1"/>
      <c r="M1003" s="1"/>
      <c r="N1003" s="1"/>
      <c r="O1003" s="1"/>
      <c r="P1003" s="1"/>
      <c r="Q1003" s="1"/>
      <c r="R1003" s="1"/>
      <c r="S1003" s="1"/>
      <c r="T1003" s="1"/>
      <c r="U1003" s="1"/>
      <c r="V1003" s="1"/>
      <c r="W1003" s="1"/>
      <c r="X1003" s="1"/>
      <c r="Y1003" s="1"/>
      <c r="Z1003" s="1"/>
    </row>
    <row r="1004" spans="1:26" ht="12.75" customHeight="1" x14ac:dyDescent="0.25">
      <c r="A1004" s="1"/>
      <c r="B1004" s="1"/>
      <c r="C1004" s="1"/>
      <c r="D1004" s="1"/>
      <c r="E1004" s="1"/>
      <c r="I1004" s="1"/>
      <c r="J1004" s="1"/>
      <c r="K1004" s="1"/>
      <c r="L1004" s="1"/>
      <c r="M1004" s="1"/>
      <c r="N1004" s="1"/>
      <c r="O1004" s="1"/>
      <c r="P1004" s="1"/>
      <c r="Q1004" s="1"/>
      <c r="R1004" s="1"/>
      <c r="S1004" s="1"/>
      <c r="T1004" s="1"/>
      <c r="U1004" s="1"/>
      <c r="V1004" s="1"/>
      <c r="W1004" s="1"/>
      <c r="X1004" s="1"/>
      <c r="Y1004" s="1"/>
      <c r="Z1004" s="1"/>
    </row>
    <row r="1005" spans="1:26" ht="12.75" customHeight="1" x14ac:dyDescent="0.25">
      <c r="A1005" s="1"/>
      <c r="B1005" s="1"/>
      <c r="C1005" s="1"/>
      <c r="D1005" s="1"/>
      <c r="E1005" s="1"/>
      <c r="I1005" s="1"/>
      <c r="J1005" s="1"/>
      <c r="K1005" s="1"/>
      <c r="L1005" s="1"/>
      <c r="M1005" s="1"/>
      <c r="N1005" s="1"/>
      <c r="O1005" s="1"/>
      <c r="P1005" s="1"/>
      <c r="Q1005" s="1"/>
      <c r="R1005" s="1"/>
      <c r="S1005" s="1"/>
      <c r="T1005" s="1"/>
      <c r="U1005" s="1"/>
      <c r="V1005" s="1"/>
      <c r="W1005" s="1"/>
      <c r="X1005" s="1"/>
      <c r="Y1005" s="1"/>
      <c r="Z1005" s="1"/>
    </row>
    <row r="1006" spans="1:26" ht="12.75" customHeight="1" x14ac:dyDescent="0.25">
      <c r="A1006" s="1"/>
      <c r="B1006" s="1"/>
      <c r="C1006" s="1"/>
      <c r="D1006" s="1"/>
      <c r="E1006" s="1"/>
      <c r="I1006" s="1"/>
      <c r="J1006" s="1"/>
      <c r="K1006" s="1"/>
      <c r="L1006" s="1"/>
      <c r="M1006" s="1"/>
      <c r="N1006" s="1"/>
      <c r="O1006" s="1"/>
      <c r="P1006" s="1"/>
      <c r="Q1006" s="1"/>
      <c r="R1006" s="1"/>
      <c r="S1006" s="1"/>
      <c r="T1006" s="1"/>
      <c r="U1006" s="1"/>
      <c r="V1006" s="1"/>
      <c r="W1006" s="1"/>
      <c r="X1006" s="1"/>
      <c r="Y1006" s="1"/>
      <c r="Z1006" s="1"/>
    </row>
    <row r="1007" spans="1:26" ht="12.75" customHeight="1" x14ac:dyDescent="0.25">
      <c r="A1007" s="1"/>
      <c r="B1007" s="1"/>
      <c r="C1007" s="1"/>
      <c r="D1007" s="1"/>
      <c r="E1007" s="1"/>
      <c r="I1007" s="1"/>
      <c r="J1007" s="1"/>
      <c r="K1007" s="1"/>
      <c r="L1007" s="1"/>
      <c r="M1007" s="1"/>
      <c r="N1007" s="1"/>
      <c r="O1007" s="1"/>
      <c r="P1007" s="1"/>
      <c r="Q1007" s="1"/>
      <c r="R1007" s="1"/>
      <c r="S1007" s="1"/>
      <c r="T1007" s="1"/>
      <c r="U1007" s="1"/>
      <c r="V1007" s="1"/>
      <c r="W1007" s="1"/>
      <c r="X1007" s="1"/>
      <c r="Y1007" s="1"/>
      <c r="Z1007" s="1"/>
    </row>
    <row r="1008" spans="1:26" ht="12.75" customHeight="1" x14ac:dyDescent="0.25">
      <c r="A1008" s="1"/>
      <c r="B1008" s="1"/>
      <c r="C1008" s="1"/>
      <c r="D1008" s="1"/>
      <c r="E1008" s="1"/>
      <c r="I1008" s="1"/>
      <c r="J1008" s="1"/>
      <c r="K1008" s="1"/>
      <c r="L1008" s="1"/>
      <c r="M1008" s="1"/>
      <c r="N1008" s="1"/>
      <c r="O1008" s="1"/>
      <c r="P1008" s="1"/>
      <c r="Q1008" s="1"/>
      <c r="R1008" s="1"/>
      <c r="S1008" s="1"/>
      <c r="T1008" s="1"/>
      <c r="U1008" s="1"/>
      <c r="V1008" s="1"/>
      <c r="W1008" s="1"/>
      <c r="X1008" s="1"/>
      <c r="Y1008" s="1"/>
      <c r="Z1008" s="1"/>
    </row>
    <row r="1009" spans="1:26" ht="12.75" customHeight="1" x14ac:dyDescent="0.25">
      <c r="A1009" s="1"/>
      <c r="B1009" s="1"/>
      <c r="C1009" s="1"/>
      <c r="D1009" s="1"/>
      <c r="E1009" s="1"/>
      <c r="I1009" s="1"/>
      <c r="J1009" s="1"/>
      <c r="K1009" s="1"/>
      <c r="L1009" s="1"/>
      <c r="M1009" s="1"/>
      <c r="N1009" s="1"/>
      <c r="O1009" s="1"/>
      <c r="P1009" s="1"/>
      <c r="Q1009" s="1"/>
      <c r="R1009" s="1"/>
      <c r="S1009" s="1"/>
      <c r="T1009" s="1"/>
      <c r="U1009" s="1"/>
      <c r="V1009" s="1"/>
      <c r="W1009" s="1"/>
      <c r="X1009" s="1"/>
      <c r="Y1009" s="1"/>
      <c r="Z1009" s="1"/>
    </row>
    <row r="1010" spans="1:26" ht="12.75" customHeight="1" x14ac:dyDescent="0.25">
      <c r="A1010" s="1"/>
      <c r="B1010" s="1"/>
      <c r="C1010" s="1"/>
      <c r="D1010" s="1"/>
      <c r="E1010" s="1"/>
      <c r="I1010" s="1"/>
      <c r="J1010" s="1"/>
      <c r="K1010" s="1"/>
      <c r="L1010" s="1"/>
      <c r="M1010" s="1"/>
      <c r="N1010" s="1"/>
      <c r="O1010" s="1"/>
      <c r="P1010" s="1"/>
      <c r="Q1010" s="1"/>
      <c r="R1010" s="1"/>
      <c r="S1010" s="1"/>
      <c r="T1010" s="1"/>
      <c r="U1010" s="1"/>
      <c r="V1010" s="1"/>
      <c r="W1010" s="1"/>
      <c r="X1010" s="1"/>
      <c r="Y1010" s="1"/>
      <c r="Z1010" s="1"/>
    </row>
    <row r="1011" spans="1:26" ht="12.75" customHeight="1" x14ac:dyDescent="0.25">
      <c r="A1011" s="1"/>
      <c r="B1011" s="1"/>
      <c r="C1011" s="1"/>
      <c r="D1011" s="1"/>
      <c r="E1011" s="1"/>
      <c r="I1011" s="1"/>
      <c r="J1011" s="1"/>
      <c r="K1011" s="1"/>
      <c r="L1011" s="1"/>
      <c r="M1011" s="1"/>
      <c r="N1011" s="1"/>
      <c r="O1011" s="1"/>
      <c r="P1011" s="1"/>
      <c r="Q1011" s="1"/>
      <c r="R1011" s="1"/>
      <c r="S1011" s="1"/>
      <c r="T1011" s="1"/>
      <c r="U1011" s="1"/>
      <c r="V1011" s="1"/>
      <c r="W1011" s="1"/>
      <c r="X1011" s="1"/>
      <c r="Y1011" s="1"/>
      <c r="Z1011" s="1"/>
    </row>
    <row r="1012" spans="1:26" ht="12.75" customHeight="1" x14ac:dyDescent="0.25">
      <c r="A1012" s="1"/>
      <c r="B1012" s="1"/>
      <c r="C1012" s="1"/>
      <c r="D1012" s="1"/>
      <c r="E1012" s="1"/>
      <c r="I1012" s="1"/>
      <c r="J1012" s="1"/>
      <c r="K1012" s="1"/>
      <c r="L1012" s="1"/>
      <c r="M1012" s="1"/>
      <c r="N1012" s="1"/>
      <c r="O1012" s="1"/>
      <c r="P1012" s="1"/>
      <c r="Q1012" s="1"/>
      <c r="R1012" s="1"/>
      <c r="S1012" s="1"/>
      <c r="T1012" s="1"/>
      <c r="U1012" s="1"/>
      <c r="V1012" s="1"/>
      <c r="W1012" s="1"/>
      <c r="X1012" s="1"/>
      <c r="Y1012" s="1"/>
      <c r="Z1012" s="1"/>
    </row>
    <row r="1013" spans="1:26" ht="12.75" customHeight="1" x14ac:dyDescent="0.25">
      <c r="A1013" s="1"/>
      <c r="B1013" s="1"/>
      <c r="C1013" s="1"/>
      <c r="D1013" s="1"/>
      <c r="E1013" s="1"/>
      <c r="I1013" s="1"/>
      <c r="J1013" s="1"/>
      <c r="K1013" s="1"/>
      <c r="L1013" s="1"/>
      <c r="M1013" s="1"/>
      <c r="N1013" s="1"/>
      <c r="O1013" s="1"/>
      <c r="P1013" s="1"/>
      <c r="Q1013" s="1"/>
      <c r="R1013" s="1"/>
      <c r="S1013" s="1"/>
      <c r="T1013" s="1"/>
      <c r="U1013" s="1"/>
      <c r="V1013" s="1"/>
      <c r="W1013" s="1"/>
      <c r="X1013" s="1"/>
      <c r="Y1013" s="1"/>
      <c r="Z1013" s="1"/>
    </row>
    <row r="1014" spans="1:26" ht="12.75" customHeight="1" x14ac:dyDescent="0.25">
      <c r="A1014" s="1"/>
      <c r="B1014" s="1"/>
      <c r="C1014" s="1"/>
      <c r="D1014" s="1"/>
      <c r="E1014" s="1"/>
      <c r="I1014" s="1"/>
      <c r="J1014" s="1"/>
      <c r="K1014" s="1"/>
      <c r="L1014" s="1"/>
      <c r="M1014" s="1"/>
      <c r="N1014" s="1"/>
      <c r="O1014" s="1"/>
      <c r="P1014" s="1"/>
      <c r="Q1014" s="1"/>
      <c r="R1014" s="1"/>
      <c r="S1014" s="1"/>
      <c r="T1014" s="1"/>
      <c r="U1014" s="1"/>
      <c r="V1014" s="1"/>
      <c r="W1014" s="1"/>
      <c r="X1014" s="1"/>
      <c r="Y1014" s="1"/>
      <c r="Z1014" s="1"/>
    </row>
    <row r="1015" spans="1:26" ht="12.75" customHeight="1" x14ac:dyDescent="0.25">
      <c r="A1015" s="1"/>
      <c r="B1015" s="1"/>
      <c r="C1015" s="1"/>
      <c r="D1015" s="1"/>
      <c r="E1015" s="1"/>
      <c r="I1015" s="1"/>
      <c r="J1015" s="1"/>
      <c r="K1015" s="1"/>
      <c r="L1015" s="1"/>
      <c r="M1015" s="1"/>
      <c r="N1015" s="1"/>
      <c r="O1015" s="1"/>
      <c r="P1015" s="1"/>
      <c r="Q1015" s="1"/>
      <c r="R1015" s="1"/>
      <c r="S1015" s="1"/>
      <c r="T1015" s="1"/>
      <c r="U1015" s="1"/>
      <c r="V1015" s="1"/>
      <c r="W1015" s="1"/>
      <c r="X1015" s="1"/>
      <c r="Y1015" s="1"/>
      <c r="Z1015" s="1"/>
    </row>
    <row r="1016" spans="1:26" ht="12.75" customHeight="1" x14ac:dyDescent="0.25">
      <c r="A1016" s="1"/>
      <c r="B1016" s="1"/>
      <c r="C1016" s="1"/>
      <c r="D1016" s="1"/>
      <c r="E1016" s="1"/>
      <c r="I1016" s="1"/>
      <c r="J1016" s="1"/>
      <c r="K1016" s="1"/>
      <c r="L1016" s="1"/>
      <c r="M1016" s="1"/>
      <c r="N1016" s="1"/>
      <c r="O1016" s="1"/>
      <c r="P1016" s="1"/>
      <c r="Q1016" s="1"/>
      <c r="R1016" s="1"/>
      <c r="S1016" s="1"/>
      <c r="T1016" s="1"/>
      <c r="U1016" s="1"/>
      <c r="V1016" s="1"/>
      <c r="W1016" s="1"/>
      <c r="X1016" s="1"/>
      <c r="Y1016" s="1"/>
      <c r="Z1016" s="1"/>
    </row>
    <row r="1017" spans="1:26" ht="12.75" customHeight="1" x14ac:dyDescent="0.25">
      <c r="A1017" s="1"/>
      <c r="B1017" s="1"/>
      <c r="C1017" s="1"/>
      <c r="D1017" s="1"/>
      <c r="E1017" s="1"/>
      <c r="I1017" s="1"/>
      <c r="J1017" s="1"/>
      <c r="K1017" s="1"/>
      <c r="L1017" s="1"/>
      <c r="M1017" s="1"/>
      <c r="N1017" s="1"/>
      <c r="O1017" s="1"/>
      <c r="P1017" s="1"/>
      <c r="Q1017" s="1"/>
      <c r="R1017" s="1"/>
      <c r="S1017" s="1"/>
      <c r="T1017" s="1"/>
      <c r="U1017" s="1"/>
      <c r="V1017" s="1"/>
      <c r="W1017" s="1"/>
      <c r="X1017" s="1"/>
      <c r="Y1017" s="1"/>
      <c r="Z1017" s="1"/>
    </row>
    <row r="1018" spans="1:26" ht="12.75" customHeight="1" x14ac:dyDescent="0.25">
      <c r="A1018" s="1"/>
      <c r="B1018" s="1"/>
      <c r="C1018" s="1"/>
      <c r="D1018" s="1"/>
      <c r="E1018" s="1"/>
      <c r="I1018" s="1"/>
      <c r="J1018" s="1"/>
      <c r="K1018" s="1"/>
      <c r="L1018" s="1"/>
      <c r="M1018" s="1"/>
      <c r="N1018" s="1"/>
      <c r="O1018" s="1"/>
      <c r="P1018" s="1"/>
      <c r="Q1018" s="1"/>
      <c r="R1018" s="1"/>
      <c r="S1018" s="1"/>
      <c r="T1018" s="1"/>
      <c r="U1018" s="1"/>
      <c r="V1018" s="1"/>
      <c r="W1018" s="1"/>
      <c r="X1018" s="1"/>
      <c r="Y1018" s="1"/>
      <c r="Z1018" s="1"/>
    </row>
    <row r="1019" spans="1:26" ht="12.75" customHeight="1" x14ac:dyDescent="0.25">
      <c r="A1019" s="1"/>
      <c r="B1019" s="1"/>
      <c r="C1019" s="1"/>
      <c r="D1019" s="1"/>
      <c r="E1019" s="1"/>
      <c r="I1019" s="1"/>
      <c r="J1019" s="1"/>
      <c r="K1019" s="1"/>
      <c r="L1019" s="1"/>
      <c r="M1019" s="1"/>
      <c r="N1019" s="1"/>
      <c r="O1019" s="1"/>
      <c r="P1019" s="1"/>
      <c r="Q1019" s="1"/>
      <c r="R1019" s="1"/>
      <c r="S1019" s="1"/>
      <c r="T1019" s="1"/>
      <c r="U1019" s="1"/>
      <c r="V1019" s="1"/>
      <c r="W1019" s="1"/>
      <c r="X1019" s="1"/>
      <c r="Y1019" s="1"/>
      <c r="Z1019" s="1"/>
    </row>
    <row r="1020" spans="1:26" ht="12.75" customHeight="1" x14ac:dyDescent="0.25">
      <c r="A1020" s="1"/>
      <c r="B1020" s="1"/>
      <c r="C1020" s="1"/>
      <c r="D1020" s="1"/>
      <c r="E1020" s="1"/>
      <c r="I1020" s="1"/>
      <c r="J1020" s="1"/>
      <c r="K1020" s="1"/>
      <c r="L1020" s="1"/>
      <c r="M1020" s="1"/>
      <c r="N1020" s="1"/>
      <c r="O1020" s="1"/>
      <c r="P1020" s="1"/>
      <c r="Q1020" s="1"/>
      <c r="R1020" s="1"/>
      <c r="S1020" s="1"/>
      <c r="T1020" s="1"/>
      <c r="U1020" s="1"/>
      <c r="V1020" s="1"/>
      <c r="W1020" s="1"/>
      <c r="X1020" s="1"/>
      <c r="Y1020" s="1"/>
      <c r="Z1020" s="1"/>
    </row>
    <row r="1021" spans="1:26" ht="12.75" customHeight="1" x14ac:dyDescent="0.25">
      <c r="A1021" s="1"/>
      <c r="B1021" s="1"/>
      <c r="C1021" s="1"/>
      <c r="D1021" s="1"/>
      <c r="E1021" s="1"/>
      <c r="I1021" s="1"/>
      <c r="J1021" s="1"/>
      <c r="K1021" s="1"/>
      <c r="L1021" s="1"/>
      <c r="M1021" s="1"/>
      <c r="N1021" s="1"/>
      <c r="O1021" s="1"/>
      <c r="P1021" s="1"/>
      <c r="Q1021" s="1"/>
      <c r="R1021" s="1"/>
      <c r="S1021" s="1"/>
      <c r="T1021" s="1"/>
      <c r="U1021" s="1"/>
      <c r="V1021" s="1"/>
      <c r="W1021" s="1"/>
      <c r="X1021" s="1"/>
      <c r="Y1021" s="1"/>
      <c r="Z1021" s="1"/>
    </row>
    <row r="1022" spans="1:26" ht="12.75" customHeight="1" x14ac:dyDescent="0.25">
      <c r="A1022" s="1"/>
      <c r="B1022" s="1"/>
      <c r="C1022" s="1"/>
      <c r="D1022" s="1"/>
      <c r="E1022" s="1"/>
      <c r="I1022" s="1"/>
      <c r="J1022" s="1"/>
      <c r="K1022" s="1"/>
      <c r="L1022" s="1"/>
      <c r="M1022" s="1"/>
      <c r="N1022" s="1"/>
      <c r="O1022" s="1"/>
      <c r="P1022" s="1"/>
      <c r="Q1022" s="1"/>
      <c r="R1022" s="1"/>
      <c r="S1022" s="1"/>
      <c r="T1022" s="1"/>
      <c r="U1022" s="1"/>
      <c r="V1022" s="1"/>
      <c r="W1022" s="1"/>
      <c r="X1022" s="1"/>
      <c r="Y1022" s="1"/>
      <c r="Z1022" s="1"/>
    </row>
    <row r="1023" spans="1:26" ht="12.75" customHeight="1" x14ac:dyDescent="0.25">
      <c r="A1023" s="1"/>
      <c r="B1023" s="1"/>
      <c r="C1023" s="1"/>
      <c r="D1023" s="1"/>
      <c r="E1023" s="1"/>
      <c r="I1023" s="1"/>
      <c r="J1023" s="1"/>
      <c r="K1023" s="1"/>
      <c r="L1023" s="1"/>
      <c r="M1023" s="1"/>
      <c r="N1023" s="1"/>
      <c r="O1023" s="1"/>
      <c r="P1023" s="1"/>
      <c r="Q1023" s="1"/>
      <c r="R1023" s="1"/>
      <c r="S1023" s="1"/>
      <c r="T1023" s="1"/>
      <c r="U1023" s="1"/>
      <c r="V1023" s="1"/>
      <c r="W1023" s="1"/>
      <c r="X1023" s="1"/>
      <c r="Y1023" s="1"/>
      <c r="Z1023" s="1"/>
    </row>
    <row r="1024" spans="1:26" ht="12.75" customHeight="1" x14ac:dyDescent="0.25">
      <c r="A1024" s="1"/>
      <c r="B1024" s="1"/>
      <c r="C1024" s="1"/>
      <c r="D1024" s="1"/>
      <c r="E1024" s="1"/>
      <c r="I1024" s="1"/>
      <c r="J1024" s="1"/>
      <c r="K1024" s="1"/>
      <c r="L1024" s="1"/>
      <c r="M1024" s="1"/>
      <c r="N1024" s="1"/>
      <c r="O1024" s="1"/>
      <c r="P1024" s="1"/>
      <c r="Q1024" s="1"/>
      <c r="R1024" s="1"/>
      <c r="S1024" s="1"/>
      <c r="T1024" s="1"/>
      <c r="U1024" s="1"/>
      <c r="V1024" s="1"/>
      <c r="W1024" s="1"/>
      <c r="X1024" s="1"/>
      <c r="Y1024" s="1"/>
      <c r="Z1024" s="1"/>
    </row>
    <row r="1025" spans="1:26" ht="12.75" customHeight="1" x14ac:dyDescent="0.25">
      <c r="A1025" s="1"/>
      <c r="B1025" s="1"/>
      <c r="C1025" s="1"/>
      <c r="D1025" s="1"/>
      <c r="E1025" s="1"/>
      <c r="I1025" s="1"/>
      <c r="J1025" s="1"/>
      <c r="K1025" s="1"/>
      <c r="L1025" s="1"/>
      <c r="M1025" s="1"/>
      <c r="N1025" s="1"/>
      <c r="O1025" s="1"/>
      <c r="P1025" s="1"/>
      <c r="Q1025" s="1"/>
      <c r="R1025" s="1"/>
      <c r="S1025" s="1"/>
      <c r="T1025" s="1"/>
      <c r="U1025" s="1"/>
      <c r="V1025" s="1"/>
      <c r="W1025" s="1"/>
      <c r="X1025" s="1"/>
      <c r="Y1025" s="1"/>
      <c r="Z1025" s="1"/>
    </row>
    <row r="1026" spans="1:26" ht="12.75" customHeight="1" x14ac:dyDescent="0.25">
      <c r="A1026" s="1"/>
      <c r="B1026" s="1"/>
      <c r="C1026" s="1"/>
      <c r="D1026" s="1"/>
      <c r="E1026" s="1"/>
      <c r="I1026" s="1"/>
      <c r="J1026" s="1"/>
      <c r="K1026" s="1"/>
      <c r="L1026" s="1"/>
      <c r="M1026" s="1"/>
      <c r="N1026" s="1"/>
      <c r="O1026" s="1"/>
      <c r="P1026" s="1"/>
      <c r="Q1026" s="1"/>
      <c r="R1026" s="1"/>
      <c r="S1026" s="1"/>
      <c r="T1026" s="1"/>
      <c r="U1026" s="1"/>
      <c r="V1026" s="1"/>
      <c r="W1026" s="1"/>
      <c r="X1026" s="1"/>
      <c r="Y1026" s="1"/>
      <c r="Z1026" s="1"/>
    </row>
    <row r="1027" spans="1:26" ht="12.75" customHeight="1" x14ac:dyDescent="0.25">
      <c r="A1027" s="1"/>
      <c r="B1027" s="1"/>
      <c r="C1027" s="1"/>
      <c r="D1027" s="1"/>
      <c r="E1027" s="1"/>
      <c r="I1027" s="1"/>
      <c r="J1027" s="1"/>
      <c r="K1027" s="1"/>
      <c r="L1027" s="1"/>
      <c r="M1027" s="1"/>
      <c r="N1027" s="1"/>
      <c r="O1027" s="1"/>
      <c r="P1027" s="1"/>
      <c r="Q1027" s="1"/>
      <c r="R1027" s="1"/>
      <c r="S1027" s="1"/>
      <c r="T1027" s="1"/>
      <c r="U1027" s="1"/>
      <c r="V1027" s="1"/>
      <c r="W1027" s="1"/>
      <c r="X1027" s="1"/>
      <c r="Y1027" s="1"/>
      <c r="Z1027" s="1"/>
    </row>
    <row r="1028" spans="1:26" ht="12.75" customHeight="1" x14ac:dyDescent="0.25">
      <c r="A1028" s="1"/>
      <c r="B1028" s="1"/>
      <c r="C1028" s="1"/>
      <c r="D1028" s="1"/>
      <c r="E1028" s="1"/>
      <c r="I1028" s="1"/>
      <c r="J1028" s="1"/>
      <c r="K1028" s="1"/>
      <c r="L1028" s="1"/>
      <c r="M1028" s="1"/>
      <c r="N1028" s="1"/>
      <c r="O1028" s="1"/>
      <c r="P1028" s="1"/>
      <c r="Q1028" s="1"/>
      <c r="R1028" s="1"/>
      <c r="S1028" s="1"/>
      <c r="T1028" s="1"/>
      <c r="U1028" s="1"/>
      <c r="V1028" s="1"/>
      <c r="W1028" s="1"/>
      <c r="X1028" s="1"/>
      <c r="Y1028" s="1"/>
      <c r="Z1028" s="1"/>
    </row>
    <row r="1029" spans="1:26" ht="12.75" customHeight="1" x14ac:dyDescent="0.25">
      <c r="A1029" s="1"/>
      <c r="B1029" s="1"/>
      <c r="C1029" s="1"/>
      <c r="D1029" s="1"/>
      <c r="E1029" s="1"/>
      <c r="I1029" s="1"/>
      <c r="J1029" s="1"/>
      <c r="K1029" s="1"/>
      <c r="L1029" s="1"/>
      <c r="M1029" s="1"/>
      <c r="N1029" s="1"/>
      <c r="O1029" s="1"/>
      <c r="P1029" s="1"/>
      <c r="Q1029" s="1"/>
      <c r="R1029" s="1"/>
      <c r="S1029" s="1"/>
      <c r="T1029" s="1"/>
      <c r="U1029" s="1"/>
      <c r="V1029" s="1"/>
      <c r="W1029" s="1"/>
      <c r="X1029" s="1"/>
      <c r="Y1029" s="1"/>
      <c r="Z1029" s="1"/>
    </row>
    <row r="1030" spans="1:26" ht="12.75" customHeight="1" x14ac:dyDescent="0.25">
      <c r="A1030" s="1"/>
      <c r="B1030" s="1"/>
      <c r="C1030" s="1"/>
      <c r="D1030" s="1"/>
      <c r="E1030" s="1"/>
      <c r="I1030" s="1"/>
      <c r="J1030" s="1"/>
      <c r="K1030" s="1"/>
      <c r="L1030" s="1"/>
      <c r="M1030" s="1"/>
      <c r="N1030" s="1"/>
      <c r="O1030" s="1"/>
      <c r="P1030" s="1"/>
      <c r="Q1030" s="1"/>
      <c r="R1030" s="1"/>
      <c r="S1030" s="1"/>
      <c r="T1030" s="1"/>
      <c r="U1030" s="1"/>
      <c r="V1030" s="1"/>
      <c r="W1030" s="1"/>
      <c r="X1030" s="1"/>
      <c r="Y1030" s="1"/>
      <c r="Z1030" s="1"/>
    </row>
    <row r="1031" spans="1:26" ht="12.75" customHeight="1" x14ac:dyDescent="0.25">
      <c r="A1031" s="1"/>
      <c r="B1031" s="1"/>
      <c r="C1031" s="1"/>
      <c r="D1031" s="1"/>
      <c r="E1031" s="1"/>
      <c r="I1031" s="1"/>
      <c r="J1031" s="1"/>
      <c r="K1031" s="1"/>
      <c r="L1031" s="1"/>
      <c r="M1031" s="1"/>
      <c r="N1031" s="1"/>
      <c r="O1031" s="1"/>
      <c r="P1031" s="1"/>
      <c r="Q1031" s="1"/>
      <c r="R1031" s="1"/>
      <c r="S1031" s="1"/>
      <c r="T1031" s="1"/>
      <c r="U1031" s="1"/>
      <c r="V1031" s="1"/>
      <c r="W1031" s="1"/>
      <c r="X1031" s="1"/>
      <c r="Y1031" s="1"/>
      <c r="Z1031" s="1"/>
    </row>
    <row r="1032" spans="1:26" ht="12.75" customHeight="1" x14ac:dyDescent="0.25">
      <c r="A1032" s="1"/>
      <c r="B1032" s="1"/>
      <c r="C1032" s="1"/>
      <c r="D1032" s="1"/>
      <c r="E1032" s="1"/>
      <c r="I1032" s="1"/>
      <c r="J1032" s="1"/>
      <c r="K1032" s="1"/>
      <c r="L1032" s="1"/>
      <c r="M1032" s="1"/>
      <c r="N1032" s="1"/>
      <c r="O1032" s="1"/>
      <c r="P1032" s="1"/>
      <c r="Q1032" s="1"/>
      <c r="R1032" s="1"/>
      <c r="S1032" s="1"/>
      <c r="T1032" s="1"/>
      <c r="U1032" s="1"/>
      <c r="V1032" s="1"/>
      <c r="W1032" s="1"/>
      <c r="X1032" s="1"/>
      <c r="Y1032" s="1"/>
      <c r="Z1032" s="1"/>
    </row>
    <row r="1033" spans="1:26" ht="12.75" customHeight="1" x14ac:dyDescent="0.25">
      <c r="A1033" s="1"/>
      <c r="B1033" s="1"/>
      <c r="C1033" s="1"/>
      <c r="D1033" s="1"/>
      <c r="E1033" s="1"/>
      <c r="I1033" s="1"/>
      <c r="J1033" s="1"/>
      <c r="K1033" s="1"/>
      <c r="L1033" s="1"/>
      <c r="M1033" s="1"/>
      <c r="N1033" s="1"/>
      <c r="O1033" s="1"/>
      <c r="P1033" s="1"/>
      <c r="Q1033" s="1"/>
      <c r="R1033" s="1"/>
      <c r="S1033" s="1"/>
      <c r="T1033" s="1"/>
      <c r="U1033" s="1"/>
      <c r="V1033" s="1"/>
      <c r="W1033" s="1"/>
      <c r="X1033" s="1"/>
      <c r="Y1033" s="1"/>
      <c r="Z1033" s="1"/>
    </row>
    <row r="1034" spans="1:26" ht="12.75" customHeight="1" x14ac:dyDescent="0.25">
      <c r="A1034" s="1"/>
      <c r="B1034" s="1"/>
      <c r="C1034" s="1"/>
      <c r="D1034" s="1"/>
      <c r="E1034" s="1"/>
      <c r="I1034" s="1"/>
      <c r="J1034" s="1"/>
      <c r="K1034" s="1"/>
      <c r="L1034" s="1"/>
      <c r="M1034" s="1"/>
      <c r="N1034" s="1"/>
      <c r="O1034" s="1"/>
      <c r="P1034" s="1"/>
      <c r="Q1034" s="1"/>
      <c r="R1034" s="1"/>
      <c r="S1034" s="1"/>
      <c r="T1034" s="1"/>
      <c r="U1034" s="1"/>
      <c r="V1034" s="1"/>
      <c r="W1034" s="1"/>
      <c r="X1034" s="1"/>
      <c r="Y1034" s="1"/>
      <c r="Z1034" s="1"/>
    </row>
    <row r="1035" spans="1:26" ht="12.75" customHeight="1" x14ac:dyDescent="0.25">
      <c r="A1035" s="1"/>
      <c r="B1035" s="1"/>
      <c r="C1035" s="1"/>
      <c r="D1035" s="1"/>
      <c r="E1035" s="1"/>
      <c r="I1035" s="1"/>
      <c r="J1035" s="1"/>
      <c r="K1035" s="1"/>
      <c r="L1035" s="1"/>
      <c r="M1035" s="1"/>
      <c r="N1035" s="1"/>
      <c r="O1035" s="1"/>
      <c r="P1035" s="1"/>
      <c r="Q1035" s="1"/>
      <c r="R1035" s="1"/>
      <c r="S1035" s="1"/>
      <c r="T1035" s="1"/>
      <c r="U1035" s="1"/>
      <c r="V1035" s="1"/>
      <c r="W1035" s="1"/>
      <c r="X1035" s="1"/>
      <c r="Y1035" s="1"/>
      <c r="Z1035" s="1"/>
    </row>
    <row r="1036" spans="1:26" ht="12.75" customHeight="1" x14ac:dyDescent="0.25">
      <c r="A1036" s="1"/>
      <c r="B1036" s="1"/>
      <c r="C1036" s="1"/>
      <c r="D1036" s="1"/>
      <c r="E1036" s="1"/>
      <c r="I1036" s="1"/>
      <c r="J1036" s="1"/>
      <c r="K1036" s="1"/>
      <c r="L1036" s="1"/>
      <c r="M1036" s="1"/>
      <c r="N1036" s="1"/>
      <c r="O1036" s="1"/>
      <c r="P1036" s="1"/>
      <c r="Q1036" s="1"/>
      <c r="R1036" s="1"/>
      <c r="S1036" s="1"/>
      <c r="T1036" s="1"/>
      <c r="U1036" s="1"/>
      <c r="V1036" s="1"/>
      <c r="W1036" s="1"/>
      <c r="X1036" s="1"/>
      <c r="Y1036" s="1"/>
      <c r="Z1036" s="1"/>
    </row>
    <row r="1037" spans="1:26" ht="12.75" customHeight="1" x14ac:dyDescent="0.25">
      <c r="A1037" s="1"/>
      <c r="B1037" s="1"/>
      <c r="C1037" s="1"/>
      <c r="D1037" s="1"/>
      <c r="E1037" s="1"/>
      <c r="I1037" s="1"/>
      <c r="J1037" s="1"/>
      <c r="K1037" s="1"/>
      <c r="L1037" s="1"/>
      <c r="M1037" s="1"/>
      <c r="N1037" s="1"/>
      <c r="O1037" s="1"/>
      <c r="P1037" s="1"/>
      <c r="Q1037" s="1"/>
      <c r="R1037" s="1"/>
      <c r="S1037" s="1"/>
      <c r="T1037" s="1"/>
      <c r="U1037" s="1"/>
      <c r="V1037" s="1"/>
      <c r="W1037" s="1"/>
      <c r="X1037" s="1"/>
      <c r="Y1037" s="1"/>
      <c r="Z1037" s="1"/>
    </row>
    <row r="1038" spans="1:26" ht="12.75" customHeight="1" x14ac:dyDescent="0.25">
      <c r="A1038" s="1"/>
      <c r="B1038" s="1"/>
      <c r="C1038" s="1"/>
      <c r="D1038" s="1"/>
      <c r="E1038" s="1"/>
      <c r="I1038" s="1"/>
      <c r="J1038" s="1"/>
      <c r="K1038" s="1"/>
      <c r="L1038" s="1"/>
      <c r="M1038" s="1"/>
      <c r="N1038" s="1"/>
      <c r="O1038" s="1"/>
      <c r="P1038" s="1"/>
      <c r="Q1038" s="1"/>
      <c r="R1038" s="1"/>
      <c r="S1038" s="1"/>
      <c r="T1038" s="1"/>
      <c r="U1038" s="1"/>
      <c r="V1038" s="1"/>
      <c r="W1038" s="1"/>
      <c r="X1038" s="1"/>
      <c r="Y1038" s="1"/>
      <c r="Z1038" s="1"/>
    </row>
    <row r="1039" spans="1:26" ht="12.75" customHeight="1" x14ac:dyDescent="0.25">
      <c r="A1039" s="1"/>
      <c r="B1039" s="1"/>
      <c r="C1039" s="1"/>
      <c r="D1039" s="1"/>
      <c r="E1039" s="1"/>
      <c r="I1039" s="1"/>
      <c r="J1039" s="1"/>
      <c r="K1039" s="1"/>
      <c r="L1039" s="1"/>
      <c r="M1039" s="1"/>
      <c r="N1039" s="1"/>
      <c r="O1039" s="1"/>
      <c r="P1039" s="1"/>
      <c r="Q1039" s="1"/>
      <c r="R1039" s="1"/>
      <c r="S1039" s="1"/>
      <c r="T1039" s="1"/>
      <c r="U1039" s="1"/>
      <c r="V1039" s="1"/>
      <c r="W1039" s="1"/>
      <c r="X1039" s="1"/>
      <c r="Y1039" s="1"/>
      <c r="Z1039" s="1"/>
    </row>
    <row r="1040" spans="1:26" ht="12.75" customHeight="1" x14ac:dyDescent="0.25">
      <c r="A1040" s="1"/>
      <c r="B1040" s="1"/>
      <c r="C1040" s="1"/>
      <c r="D1040" s="1"/>
      <c r="E1040" s="1"/>
      <c r="I1040" s="1"/>
      <c r="J1040" s="1"/>
      <c r="K1040" s="1"/>
      <c r="L1040" s="1"/>
      <c r="M1040" s="1"/>
      <c r="N1040" s="1"/>
      <c r="O1040" s="1"/>
      <c r="P1040" s="1"/>
      <c r="Q1040" s="1"/>
      <c r="R1040" s="1"/>
      <c r="S1040" s="1"/>
      <c r="T1040" s="1"/>
      <c r="U1040" s="1"/>
      <c r="V1040" s="1"/>
      <c r="W1040" s="1"/>
      <c r="X1040" s="1"/>
      <c r="Y1040" s="1"/>
      <c r="Z1040" s="1"/>
    </row>
    <row r="1041" spans="1:26" ht="12.75" customHeight="1" x14ac:dyDescent="0.25">
      <c r="A1041" s="1"/>
      <c r="B1041" s="1"/>
      <c r="C1041" s="1"/>
      <c r="D1041" s="1"/>
      <c r="E1041" s="1"/>
      <c r="I1041" s="1"/>
      <c r="J1041" s="1"/>
      <c r="K1041" s="1"/>
      <c r="L1041" s="1"/>
      <c r="M1041" s="1"/>
      <c r="N1041" s="1"/>
      <c r="O1041" s="1"/>
      <c r="P1041" s="1"/>
      <c r="Q1041" s="1"/>
      <c r="R1041" s="1"/>
      <c r="S1041" s="1"/>
      <c r="T1041" s="1"/>
      <c r="U1041" s="1"/>
      <c r="V1041" s="1"/>
      <c r="W1041" s="1"/>
      <c r="X1041" s="1"/>
      <c r="Y1041" s="1"/>
      <c r="Z1041" s="1"/>
    </row>
    <row r="1042" spans="1:26" ht="12.75" customHeight="1" x14ac:dyDescent="0.25">
      <c r="A1042" s="1"/>
      <c r="B1042" s="1"/>
      <c r="C1042" s="1"/>
      <c r="D1042" s="1"/>
      <c r="E1042" s="1"/>
      <c r="I1042" s="1"/>
      <c r="J1042" s="1"/>
      <c r="K1042" s="1"/>
      <c r="L1042" s="1"/>
      <c r="M1042" s="1"/>
      <c r="N1042" s="1"/>
      <c r="O1042" s="1"/>
      <c r="P1042" s="1"/>
      <c r="Q1042" s="1"/>
      <c r="R1042" s="1"/>
      <c r="S1042" s="1"/>
      <c r="T1042" s="1"/>
      <c r="U1042" s="1"/>
      <c r="V1042" s="1"/>
      <c r="W1042" s="1"/>
      <c r="X1042" s="1"/>
      <c r="Y1042" s="1"/>
      <c r="Z1042" s="1"/>
    </row>
    <row r="1043" spans="1:26" ht="12.75" customHeight="1" x14ac:dyDescent="0.25">
      <c r="A1043" s="1"/>
      <c r="B1043" s="1"/>
      <c r="C1043" s="1"/>
      <c r="D1043" s="1"/>
      <c r="E1043" s="1"/>
      <c r="I1043" s="1"/>
      <c r="J1043" s="1"/>
      <c r="K1043" s="1"/>
      <c r="L1043" s="1"/>
      <c r="M1043" s="1"/>
      <c r="N1043" s="1"/>
      <c r="O1043" s="1"/>
      <c r="P1043" s="1"/>
      <c r="Q1043" s="1"/>
      <c r="R1043" s="1"/>
      <c r="S1043" s="1"/>
      <c r="T1043" s="1"/>
      <c r="U1043" s="1"/>
      <c r="V1043" s="1"/>
      <c r="W1043" s="1"/>
      <c r="X1043" s="1"/>
      <c r="Y1043" s="1"/>
      <c r="Z1043" s="1"/>
    </row>
    <row r="1044" spans="1:26" ht="12.75" customHeight="1" x14ac:dyDescent="0.25">
      <c r="A1044" s="1"/>
      <c r="B1044" s="1"/>
      <c r="C1044" s="1"/>
      <c r="D1044" s="1"/>
      <c r="E1044" s="1"/>
      <c r="I1044" s="1"/>
      <c r="J1044" s="1"/>
      <c r="K1044" s="1"/>
      <c r="L1044" s="1"/>
      <c r="M1044" s="1"/>
      <c r="N1044" s="1"/>
      <c r="O1044" s="1"/>
      <c r="P1044" s="1"/>
      <c r="Q1044" s="1"/>
      <c r="R1044" s="1"/>
      <c r="S1044" s="1"/>
      <c r="T1044" s="1"/>
      <c r="U1044" s="1"/>
      <c r="V1044" s="1"/>
      <c r="W1044" s="1"/>
      <c r="X1044" s="1"/>
      <c r="Y1044" s="1"/>
      <c r="Z1044" s="1"/>
    </row>
    <row r="1045" spans="1:26" ht="12.75" customHeight="1" x14ac:dyDescent="0.25">
      <c r="A1045" s="1"/>
      <c r="B1045" s="1"/>
      <c r="C1045" s="1"/>
      <c r="D1045" s="1"/>
      <c r="E1045" s="1"/>
      <c r="I1045" s="1"/>
      <c r="J1045" s="1"/>
      <c r="K1045" s="1"/>
      <c r="L1045" s="1"/>
      <c r="M1045" s="1"/>
      <c r="N1045" s="1"/>
      <c r="O1045" s="1"/>
      <c r="P1045" s="1"/>
      <c r="Q1045" s="1"/>
      <c r="R1045" s="1"/>
      <c r="S1045" s="1"/>
      <c r="T1045" s="1"/>
      <c r="U1045" s="1"/>
      <c r="V1045" s="1"/>
      <c r="W1045" s="1"/>
      <c r="X1045" s="1"/>
      <c r="Y1045" s="1"/>
      <c r="Z1045" s="1"/>
    </row>
    <row r="1046" spans="1:26" ht="12.75" customHeight="1" x14ac:dyDescent="0.25">
      <c r="A1046" s="1"/>
      <c r="B1046" s="1"/>
      <c r="C1046" s="1"/>
      <c r="D1046" s="1"/>
      <c r="E1046" s="1"/>
      <c r="I1046" s="1"/>
      <c r="J1046" s="1"/>
      <c r="K1046" s="1"/>
      <c r="L1046" s="1"/>
      <c r="M1046" s="1"/>
      <c r="N1046" s="1"/>
      <c r="O1046" s="1"/>
      <c r="P1046" s="1"/>
      <c r="Q1046" s="1"/>
      <c r="R1046" s="1"/>
      <c r="S1046" s="1"/>
      <c r="T1046" s="1"/>
      <c r="U1046" s="1"/>
      <c r="V1046" s="1"/>
      <c r="W1046" s="1"/>
      <c r="X1046" s="1"/>
      <c r="Y1046" s="1"/>
      <c r="Z1046" s="1"/>
    </row>
    <row r="1047" spans="1:26" ht="12.75" customHeight="1" x14ac:dyDescent="0.25">
      <c r="A1047" s="1"/>
      <c r="B1047" s="1"/>
      <c r="C1047" s="1"/>
      <c r="D1047" s="1"/>
      <c r="E1047" s="1"/>
      <c r="I1047" s="1"/>
      <c r="J1047" s="1"/>
      <c r="K1047" s="1"/>
      <c r="L1047" s="1"/>
      <c r="M1047" s="1"/>
      <c r="N1047" s="1"/>
      <c r="O1047" s="1"/>
      <c r="P1047" s="1"/>
      <c r="Q1047" s="1"/>
      <c r="R1047" s="1"/>
      <c r="S1047" s="1"/>
      <c r="T1047" s="1"/>
      <c r="U1047" s="1"/>
      <c r="V1047" s="1"/>
      <c r="W1047" s="1"/>
      <c r="X1047" s="1"/>
      <c r="Y1047" s="1"/>
      <c r="Z1047" s="1"/>
    </row>
    <row r="1048" spans="1:26" ht="12.75" customHeight="1" x14ac:dyDescent="0.25">
      <c r="A1048" s="1"/>
      <c r="B1048" s="1"/>
      <c r="C1048" s="1"/>
      <c r="D1048" s="1"/>
      <c r="E1048" s="1"/>
      <c r="I1048" s="1"/>
      <c r="J1048" s="1"/>
      <c r="K1048" s="1"/>
      <c r="L1048" s="1"/>
      <c r="M1048" s="1"/>
      <c r="N1048" s="1"/>
      <c r="O1048" s="1"/>
      <c r="P1048" s="1"/>
      <c r="Q1048" s="1"/>
      <c r="R1048" s="1"/>
      <c r="S1048" s="1"/>
      <c r="T1048" s="1"/>
      <c r="U1048" s="1"/>
      <c r="V1048" s="1"/>
      <c r="W1048" s="1"/>
      <c r="X1048" s="1"/>
      <c r="Y1048" s="1"/>
      <c r="Z1048" s="1"/>
    </row>
    <row r="1049" spans="1:26" ht="12.75" customHeight="1" x14ac:dyDescent="0.25">
      <c r="A1049" s="1"/>
      <c r="B1049" s="1"/>
      <c r="C1049" s="1"/>
      <c r="D1049" s="1"/>
      <c r="E1049" s="1"/>
      <c r="I1049" s="1"/>
      <c r="J1049" s="1"/>
      <c r="K1049" s="1"/>
      <c r="L1049" s="1"/>
      <c r="M1049" s="1"/>
      <c r="N1049" s="1"/>
      <c r="O1049" s="1"/>
      <c r="P1049" s="1"/>
      <c r="Q1049" s="1"/>
      <c r="R1049" s="1"/>
      <c r="S1049" s="1"/>
      <c r="T1049" s="1"/>
      <c r="U1049" s="1"/>
      <c r="V1049" s="1"/>
      <c r="W1049" s="1"/>
      <c r="X1049" s="1"/>
      <c r="Y1049" s="1"/>
      <c r="Z1049" s="1"/>
    </row>
    <row r="1050" spans="1:26" ht="12.75" customHeight="1" x14ac:dyDescent="0.25">
      <c r="A1050" s="1"/>
      <c r="B1050" s="1"/>
      <c r="C1050" s="1"/>
      <c r="D1050" s="1"/>
      <c r="E1050" s="1"/>
      <c r="I1050" s="1"/>
      <c r="J1050" s="1"/>
      <c r="K1050" s="1"/>
      <c r="L1050" s="1"/>
      <c r="M1050" s="1"/>
      <c r="N1050" s="1"/>
      <c r="O1050" s="1"/>
      <c r="P1050" s="1"/>
      <c r="Q1050" s="1"/>
      <c r="R1050" s="1"/>
      <c r="S1050" s="1"/>
      <c r="T1050" s="1"/>
      <c r="U1050" s="1"/>
      <c r="V1050" s="1"/>
      <c r="W1050" s="1"/>
      <c r="X1050" s="1"/>
      <c r="Y1050" s="1"/>
      <c r="Z1050" s="1"/>
    </row>
    <row r="1051" spans="1:26" ht="12.75" customHeight="1" x14ac:dyDescent="0.25">
      <c r="A1051" s="1"/>
      <c r="B1051" s="1"/>
      <c r="C1051" s="1"/>
      <c r="D1051" s="1"/>
      <c r="E1051" s="1"/>
      <c r="I1051" s="1"/>
      <c r="J1051" s="1"/>
      <c r="K1051" s="1"/>
      <c r="L1051" s="1"/>
      <c r="M1051" s="1"/>
      <c r="N1051" s="1"/>
      <c r="O1051" s="1"/>
      <c r="P1051" s="1"/>
      <c r="Q1051" s="1"/>
      <c r="R1051" s="1"/>
      <c r="S1051" s="1"/>
      <c r="T1051" s="1"/>
      <c r="U1051" s="1"/>
      <c r="V1051" s="1"/>
      <c r="W1051" s="1"/>
      <c r="X1051" s="1"/>
      <c r="Y1051" s="1"/>
      <c r="Z1051" s="1"/>
    </row>
    <row r="1052" spans="1:26" ht="12.75" customHeight="1" x14ac:dyDescent="0.25">
      <c r="A1052" s="1"/>
      <c r="B1052" s="1"/>
      <c r="C1052" s="1"/>
      <c r="D1052" s="1"/>
      <c r="E1052" s="1"/>
      <c r="I1052" s="1"/>
      <c r="J1052" s="1"/>
      <c r="K1052" s="1"/>
      <c r="L1052" s="1"/>
      <c r="M1052" s="1"/>
      <c r="N1052" s="1"/>
      <c r="O1052" s="1"/>
      <c r="P1052" s="1"/>
      <c r="Q1052" s="1"/>
      <c r="R1052" s="1"/>
      <c r="S1052" s="1"/>
      <c r="T1052" s="1"/>
      <c r="U1052" s="1"/>
      <c r="V1052" s="1"/>
      <c r="W1052" s="1"/>
      <c r="X1052" s="1"/>
      <c r="Y1052" s="1"/>
      <c r="Z1052" s="1"/>
    </row>
    <row r="1053" spans="1:26" ht="12.75" customHeight="1" x14ac:dyDescent="0.25">
      <c r="A1053" s="1"/>
      <c r="B1053" s="1"/>
      <c r="C1053" s="1"/>
      <c r="D1053" s="1"/>
      <c r="E1053" s="1"/>
      <c r="I1053" s="1"/>
      <c r="J1053" s="1"/>
      <c r="K1053" s="1"/>
      <c r="L1053" s="1"/>
      <c r="M1053" s="1"/>
      <c r="N1053" s="1"/>
      <c r="O1053" s="1"/>
      <c r="P1053" s="1"/>
      <c r="Q1053" s="1"/>
      <c r="R1053" s="1"/>
      <c r="S1053" s="1"/>
      <c r="T1053" s="1"/>
      <c r="U1053" s="1"/>
      <c r="V1053" s="1"/>
      <c r="W1053" s="1"/>
      <c r="X1053" s="1"/>
      <c r="Y1053" s="1"/>
      <c r="Z1053" s="1"/>
    </row>
    <row r="1054" spans="1:26" ht="12.75" customHeight="1" x14ac:dyDescent="0.25">
      <c r="A1054" s="1"/>
      <c r="B1054" s="1"/>
      <c r="C1054" s="1"/>
      <c r="D1054" s="1"/>
      <c r="E1054" s="1"/>
      <c r="I1054" s="1"/>
      <c r="J1054" s="1"/>
      <c r="K1054" s="1"/>
      <c r="L1054" s="1"/>
      <c r="M1054" s="1"/>
      <c r="N1054" s="1"/>
      <c r="O1054" s="1"/>
      <c r="P1054" s="1"/>
      <c r="Q1054" s="1"/>
      <c r="R1054" s="1"/>
      <c r="S1054" s="1"/>
      <c r="T1054" s="1"/>
      <c r="U1054" s="1"/>
      <c r="V1054" s="1"/>
      <c r="W1054" s="1"/>
      <c r="X1054" s="1"/>
      <c r="Y1054" s="1"/>
      <c r="Z1054" s="1"/>
    </row>
    <row r="1055" spans="1:26" ht="12.75" customHeight="1" x14ac:dyDescent="0.25">
      <c r="A1055" s="1"/>
      <c r="B1055" s="1"/>
      <c r="C1055" s="1"/>
      <c r="D1055" s="1"/>
      <c r="E1055" s="1"/>
      <c r="I1055" s="1"/>
      <c r="J1055" s="1"/>
      <c r="K1055" s="1"/>
      <c r="L1055" s="1"/>
      <c r="M1055" s="1"/>
      <c r="N1055" s="1"/>
      <c r="O1055" s="1"/>
      <c r="P1055" s="1"/>
      <c r="Q1055" s="1"/>
      <c r="R1055" s="1"/>
      <c r="S1055" s="1"/>
      <c r="T1055" s="1"/>
      <c r="U1055" s="1"/>
      <c r="V1055" s="1"/>
      <c r="W1055" s="1"/>
      <c r="X1055" s="1"/>
      <c r="Y1055" s="1"/>
      <c r="Z1055" s="1"/>
    </row>
    <row r="1056" spans="1:26" ht="12.75" customHeight="1" x14ac:dyDescent="0.25">
      <c r="A1056" s="1"/>
      <c r="B1056" s="1"/>
      <c r="C1056" s="1"/>
      <c r="D1056" s="1"/>
      <c r="E1056" s="1"/>
      <c r="I1056" s="1"/>
      <c r="J1056" s="1"/>
      <c r="K1056" s="1"/>
      <c r="L1056" s="1"/>
      <c r="M1056" s="1"/>
      <c r="N1056" s="1"/>
      <c r="O1056" s="1"/>
      <c r="P1056" s="1"/>
      <c r="Q1056" s="1"/>
      <c r="R1056" s="1"/>
      <c r="S1056" s="1"/>
      <c r="T1056" s="1"/>
      <c r="U1056" s="1"/>
      <c r="V1056" s="1"/>
      <c r="W1056" s="1"/>
      <c r="X1056" s="1"/>
      <c r="Y1056" s="1"/>
      <c r="Z1056" s="1"/>
    </row>
    <row r="1057" spans="1:26" ht="12.75" customHeight="1" x14ac:dyDescent="0.25">
      <c r="A1057" s="1"/>
      <c r="B1057" s="1"/>
      <c r="C1057" s="1"/>
      <c r="D1057" s="1"/>
      <c r="E1057" s="1"/>
      <c r="I1057" s="1"/>
      <c r="J1057" s="1"/>
      <c r="K1057" s="1"/>
      <c r="L1057" s="1"/>
      <c r="M1057" s="1"/>
      <c r="N1057" s="1"/>
      <c r="O1057" s="1"/>
      <c r="P1057" s="1"/>
      <c r="Q1057" s="1"/>
      <c r="R1057" s="1"/>
      <c r="S1057" s="1"/>
      <c r="T1057" s="1"/>
      <c r="U1057" s="1"/>
      <c r="V1057" s="1"/>
      <c r="W1057" s="1"/>
      <c r="X1057" s="1"/>
      <c r="Y1057" s="1"/>
      <c r="Z1057" s="1"/>
    </row>
    <row r="1058" spans="1:26" ht="12.75" customHeight="1" x14ac:dyDescent="0.25">
      <c r="A1058" s="1"/>
      <c r="B1058" s="1"/>
      <c r="C1058" s="1"/>
      <c r="D1058" s="1"/>
      <c r="E1058" s="1"/>
      <c r="I1058" s="1"/>
      <c r="J1058" s="1"/>
      <c r="K1058" s="1"/>
      <c r="L1058" s="1"/>
      <c r="M1058" s="1"/>
      <c r="N1058" s="1"/>
      <c r="O1058" s="1"/>
      <c r="P1058" s="1"/>
      <c r="Q1058" s="1"/>
      <c r="R1058" s="1"/>
      <c r="S1058" s="1"/>
      <c r="T1058" s="1"/>
      <c r="U1058" s="1"/>
      <c r="V1058" s="1"/>
      <c r="W1058" s="1"/>
      <c r="X1058" s="1"/>
      <c r="Y1058" s="1"/>
      <c r="Z1058" s="1"/>
    </row>
    <row r="1059" spans="1:26" ht="12.75" customHeight="1" x14ac:dyDescent="0.25">
      <c r="A1059" s="1"/>
      <c r="B1059" s="1"/>
      <c r="C1059" s="1"/>
      <c r="D1059" s="1"/>
      <c r="E1059" s="1"/>
      <c r="I1059" s="1"/>
      <c r="J1059" s="1"/>
      <c r="K1059" s="1"/>
      <c r="L1059" s="1"/>
      <c r="M1059" s="1"/>
      <c r="N1059" s="1"/>
      <c r="O1059" s="1"/>
      <c r="P1059" s="1"/>
      <c r="Q1059" s="1"/>
      <c r="R1059" s="1"/>
      <c r="S1059" s="1"/>
      <c r="T1059" s="1"/>
      <c r="U1059" s="1"/>
      <c r="V1059" s="1"/>
      <c r="W1059" s="1"/>
      <c r="X1059" s="1"/>
      <c r="Y1059" s="1"/>
      <c r="Z1059" s="1"/>
    </row>
    <row r="1060" spans="1:26" ht="12.75" customHeight="1" x14ac:dyDescent="0.25">
      <c r="A1060" s="1"/>
      <c r="B1060" s="1"/>
      <c r="C1060" s="1"/>
      <c r="D1060" s="1"/>
      <c r="E1060" s="1"/>
      <c r="I1060" s="1"/>
      <c r="J1060" s="1"/>
      <c r="K1060" s="1"/>
      <c r="L1060" s="1"/>
      <c r="M1060" s="1"/>
      <c r="N1060" s="1"/>
      <c r="O1060" s="1"/>
      <c r="P1060" s="1"/>
      <c r="Q1060" s="1"/>
      <c r="R1060" s="1"/>
      <c r="S1060" s="1"/>
      <c r="T1060" s="1"/>
      <c r="U1060" s="1"/>
      <c r="V1060" s="1"/>
      <c r="W1060" s="1"/>
      <c r="X1060" s="1"/>
      <c r="Y1060" s="1"/>
      <c r="Z1060" s="1"/>
    </row>
    <row r="1061" spans="1:26" ht="12.75" customHeight="1" x14ac:dyDescent="0.25">
      <c r="A1061" s="1"/>
      <c r="B1061" s="1"/>
      <c r="C1061" s="1"/>
      <c r="D1061" s="1"/>
      <c r="E1061" s="1"/>
      <c r="I1061" s="1"/>
      <c r="J1061" s="1"/>
      <c r="K1061" s="1"/>
      <c r="L1061" s="1"/>
      <c r="M1061" s="1"/>
      <c r="N1061" s="1"/>
      <c r="O1061" s="1"/>
      <c r="P1061" s="1"/>
      <c r="Q1061" s="1"/>
      <c r="R1061" s="1"/>
      <c r="S1061" s="1"/>
      <c r="T1061" s="1"/>
      <c r="U1061" s="1"/>
      <c r="V1061" s="1"/>
      <c r="W1061" s="1"/>
      <c r="X1061" s="1"/>
      <c r="Y1061" s="1"/>
      <c r="Z1061" s="1"/>
    </row>
    <row r="1062" spans="1:26" ht="12.75" customHeight="1" x14ac:dyDescent="0.25">
      <c r="A1062" s="1"/>
      <c r="B1062" s="1"/>
      <c r="C1062" s="1"/>
      <c r="D1062" s="1"/>
      <c r="E1062" s="1"/>
      <c r="I1062" s="1"/>
      <c r="J1062" s="1"/>
      <c r="K1062" s="1"/>
      <c r="L1062" s="1"/>
      <c r="M1062" s="1"/>
      <c r="N1062" s="1"/>
      <c r="O1062" s="1"/>
      <c r="P1062" s="1"/>
      <c r="Q1062" s="1"/>
      <c r="R1062" s="1"/>
      <c r="S1062" s="1"/>
      <c r="T1062" s="1"/>
      <c r="U1062" s="1"/>
      <c r="V1062" s="1"/>
      <c r="W1062" s="1"/>
      <c r="X1062" s="1"/>
      <c r="Y1062" s="1"/>
      <c r="Z1062" s="1"/>
    </row>
    <row r="1063" spans="1:26" ht="12.75" customHeight="1" x14ac:dyDescent="0.25">
      <c r="A1063" s="1"/>
      <c r="B1063" s="1"/>
      <c r="C1063" s="1"/>
      <c r="D1063" s="1"/>
      <c r="E1063" s="1"/>
      <c r="I1063" s="1"/>
      <c r="J1063" s="1"/>
      <c r="K1063" s="1"/>
      <c r="L1063" s="1"/>
      <c r="M1063" s="1"/>
      <c r="N1063" s="1"/>
      <c r="O1063" s="1"/>
      <c r="P1063" s="1"/>
      <c r="Q1063" s="1"/>
      <c r="R1063" s="1"/>
      <c r="S1063" s="1"/>
      <c r="T1063" s="1"/>
      <c r="U1063" s="1"/>
      <c r="V1063" s="1"/>
      <c r="W1063" s="1"/>
      <c r="X1063" s="1"/>
      <c r="Y1063" s="1"/>
      <c r="Z1063" s="1"/>
    </row>
    <row r="1064" spans="1:26" ht="12.75" customHeight="1" x14ac:dyDescent="0.25">
      <c r="A1064" s="1"/>
      <c r="B1064" s="1"/>
      <c r="C1064" s="1"/>
      <c r="D1064" s="1"/>
      <c r="E1064" s="1"/>
      <c r="I1064" s="1"/>
      <c r="J1064" s="1"/>
      <c r="K1064" s="1"/>
      <c r="L1064" s="1"/>
      <c r="M1064" s="1"/>
      <c r="N1064" s="1"/>
      <c r="O1064" s="1"/>
      <c r="P1064" s="1"/>
      <c r="Q1064" s="1"/>
      <c r="R1064" s="1"/>
      <c r="S1064" s="1"/>
      <c r="T1064" s="1"/>
      <c r="U1064" s="1"/>
      <c r="V1064" s="1"/>
      <c r="W1064" s="1"/>
      <c r="X1064" s="1"/>
      <c r="Y1064" s="1"/>
      <c r="Z1064" s="1"/>
    </row>
    <row r="1065" spans="1:26" ht="12.75" customHeight="1" x14ac:dyDescent="0.25">
      <c r="A1065" s="1"/>
      <c r="B1065" s="1"/>
      <c r="C1065" s="1"/>
      <c r="D1065" s="1"/>
      <c r="E1065" s="1"/>
      <c r="I1065" s="1"/>
      <c r="J1065" s="1"/>
      <c r="K1065" s="1"/>
      <c r="L1065" s="1"/>
      <c r="M1065" s="1"/>
      <c r="N1065" s="1"/>
      <c r="O1065" s="1"/>
      <c r="P1065" s="1"/>
      <c r="Q1065" s="1"/>
      <c r="R1065" s="1"/>
      <c r="S1065" s="1"/>
      <c r="T1065" s="1"/>
      <c r="U1065" s="1"/>
      <c r="V1065" s="1"/>
      <c r="W1065" s="1"/>
      <c r="X1065" s="1"/>
      <c r="Y1065" s="1"/>
      <c r="Z1065" s="1"/>
    </row>
    <row r="1066" spans="1:26" ht="12.75" customHeight="1" x14ac:dyDescent="0.25">
      <c r="A1066" s="1"/>
      <c r="B1066" s="1"/>
      <c r="C1066" s="1"/>
      <c r="D1066" s="1"/>
      <c r="E1066" s="1"/>
      <c r="I1066" s="1"/>
      <c r="J1066" s="1"/>
      <c r="K1066" s="1"/>
      <c r="L1066" s="1"/>
      <c r="M1066" s="1"/>
      <c r="N1066" s="1"/>
      <c r="O1066" s="1"/>
      <c r="P1066" s="1"/>
      <c r="Q1066" s="1"/>
      <c r="R1066" s="1"/>
      <c r="S1066" s="1"/>
      <c r="T1066" s="1"/>
      <c r="U1066" s="1"/>
      <c r="V1066" s="1"/>
      <c r="W1066" s="1"/>
      <c r="X1066" s="1"/>
      <c r="Y1066" s="1"/>
      <c r="Z1066" s="1"/>
    </row>
    <row r="1067" spans="1:26" ht="12.75" customHeight="1" x14ac:dyDescent="0.25">
      <c r="A1067" s="1"/>
      <c r="B1067" s="1"/>
      <c r="C1067" s="1"/>
      <c r="D1067" s="1"/>
      <c r="E1067" s="1"/>
      <c r="I1067" s="1"/>
      <c r="J1067" s="1"/>
      <c r="K1067" s="1"/>
      <c r="L1067" s="1"/>
      <c r="M1067" s="1"/>
      <c r="N1067" s="1"/>
      <c r="O1067" s="1"/>
      <c r="P1067" s="1"/>
      <c r="Q1067" s="1"/>
      <c r="R1067" s="1"/>
      <c r="S1067" s="1"/>
      <c r="T1067" s="1"/>
      <c r="U1067" s="1"/>
      <c r="V1067" s="1"/>
      <c r="W1067" s="1"/>
      <c r="X1067" s="1"/>
      <c r="Y1067" s="1"/>
      <c r="Z1067" s="1"/>
    </row>
    <row r="1068" spans="1:26" ht="12.75" customHeight="1" x14ac:dyDescent="0.25">
      <c r="A1068" s="1"/>
      <c r="B1068" s="1"/>
      <c r="C1068" s="1"/>
      <c r="D1068" s="1"/>
      <c r="E1068" s="1"/>
      <c r="I1068" s="1"/>
      <c r="J1068" s="1"/>
      <c r="K1068" s="1"/>
      <c r="L1068" s="1"/>
      <c r="M1068" s="1"/>
      <c r="N1068" s="1"/>
      <c r="O1068" s="1"/>
      <c r="P1068" s="1"/>
      <c r="Q1068" s="1"/>
      <c r="R1068" s="1"/>
      <c r="S1068" s="1"/>
      <c r="T1068" s="1"/>
      <c r="U1068" s="1"/>
      <c r="V1068" s="1"/>
      <c r="W1068" s="1"/>
      <c r="X1068" s="1"/>
      <c r="Y1068" s="1"/>
      <c r="Z1068" s="1"/>
    </row>
    <row r="1069" spans="1:26" ht="12.75" customHeight="1" x14ac:dyDescent="0.25">
      <c r="A1069" s="1"/>
      <c r="B1069" s="1"/>
      <c r="C1069" s="1"/>
      <c r="D1069" s="1"/>
      <c r="E1069" s="1"/>
      <c r="I1069" s="1"/>
      <c r="J1069" s="1"/>
      <c r="K1069" s="1"/>
      <c r="L1069" s="1"/>
      <c r="M1069" s="1"/>
      <c r="N1069" s="1"/>
      <c r="O1069" s="1"/>
      <c r="P1069" s="1"/>
      <c r="Q1069" s="1"/>
      <c r="R1069" s="1"/>
      <c r="S1069" s="1"/>
      <c r="T1069" s="1"/>
      <c r="U1069" s="1"/>
      <c r="V1069" s="1"/>
      <c r="W1069" s="1"/>
      <c r="X1069" s="1"/>
      <c r="Y1069" s="1"/>
      <c r="Z1069" s="1"/>
    </row>
    <row r="1070" spans="1:26" ht="12.75" customHeight="1" x14ac:dyDescent="0.25">
      <c r="A1070" s="1"/>
      <c r="B1070" s="1"/>
      <c r="C1070" s="1"/>
      <c r="D1070" s="1"/>
      <c r="E1070" s="1"/>
      <c r="I1070" s="1"/>
      <c r="J1070" s="1"/>
      <c r="K1070" s="1"/>
      <c r="L1070" s="1"/>
      <c r="M1070" s="1"/>
      <c r="N1070" s="1"/>
      <c r="O1070" s="1"/>
      <c r="P1070" s="1"/>
      <c r="Q1070" s="1"/>
      <c r="R1070" s="1"/>
      <c r="S1070" s="1"/>
      <c r="T1070" s="1"/>
      <c r="U1070" s="1"/>
      <c r="V1070" s="1"/>
      <c r="W1070" s="1"/>
      <c r="X1070" s="1"/>
      <c r="Y1070" s="1"/>
      <c r="Z1070" s="1"/>
    </row>
    <row r="1071" spans="1:26" ht="12.75" customHeight="1" x14ac:dyDescent="0.25">
      <c r="A1071" s="1"/>
      <c r="B1071" s="1"/>
      <c r="C1071" s="1"/>
      <c r="D1071" s="1"/>
      <c r="E1071" s="1"/>
      <c r="I1071" s="1"/>
      <c r="J1071" s="1"/>
      <c r="K1071" s="1"/>
      <c r="L1071" s="1"/>
      <c r="M1071" s="1"/>
      <c r="N1071" s="1"/>
      <c r="O1071" s="1"/>
      <c r="P1071" s="1"/>
      <c r="Q1071" s="1"/>
      <c r="R1071" s="1"/>
      <c r="S1071" s="1"/>
      <c r="T1071" s="1"/>
      <c r="U1071" s="1"/>
      <c r="V1071" s="1"/>
      <c r="W1071" s="1"/>
      <c r="X1071" s="1"/>
      <c r="Y1071" s="1"/>
      <c r="Z1071" s="1"/>
    </row>
    <row r="1072" spans="1:26" ht="12.75" customHeight="1" x14ac:dyDescent="0.25">
      <c r="A1072" s="1"/>
      <c r="B1072" s="1"/>
      <c r="C1072" s="1"/>
      <c r="D1072" s="1"/>
      <c r="E1072" s="1"/>
      <c r="I1072" s="1"/>
      <c r="J1072" s="1"/>
      <c r="K1072" s="1"/>
      <c r="L1072" s="1"/>
      <c r="M1072" s="1"/>
      <c r="N1072" s="1"/>
      <c r="O1072" s="1"/>
      <c r="P1072" s="1"/>
      <c r="Q1072" s="1"/>
      <c r="R1072" s="1"/>
      <c r="S1072" s="1"/>
      <c r="T1072" s="1"/>
      <c r="U1072" s="1"/>
      <c r="V1072" s="1"/>
      <c r="W1072" s="1"/>
      <c r="X1072" s="1"/>
      <c r="Y1072" s="1"/>
      <c r="Z1072" s="1"/>
    </row>
    <row r="1073" spans="1:26" ht="12.75" customHeight="1" x14ac:dyDescent="0.25">
      <c r="A1073" s="1"/>
      <c r="B1073" s="1"/>
      <c r="C1073" s="1"/>
      <c r="D1073" s="1"/>
      <c r="E1073" s="1"/>
      <c r="I1073" s="1"/>
      <c r="J1073" s="1"/>
      <c r="K1073" s="1"/>
      <c r="L1073" s="1"/>
      <c r="M1073" s="1"/>
      <c r="N1073" s="1"/>
      <c r="O1073" s="1"/>
      <c r="P1073" s="1"/>
      <c r="Q1073" s="1"/>
      <c r="R1073" s="1"/>
      <c r="S1073" s="1"/>
      <c r="T1073" s="1"/>
      <c r="U1073" s="1"/>
      <c r="V1073" s="1"/>
      <c r="W1073" s="1"/>
      <c r="X1073" s="1"/>
      <c r="Y1073" s="1"/>
      <c r="Z1073" s="1"/>
    </row>
    <row r="1074" spans="1:26" ht="12.75" customHeight="1" x14ac:dyDescent="0.25">
      <c r="A1074" s="1"/>
      <c r="B1074" s="1"/>
      <c r="C1074" s="1"/>
      <c r="D1074" s="1"/>
      <c r="E1074" s="1"/>
      <c r="I1074" s="1"/>
      <c r="J1074" s="1"/>
      <c r="K1074" s="1"/>
      <c r="L1074" s="1"/>
      <c r="M1074" s="1"/>
      <c r="N1074" s="1"/>
      <c r="O1074" s="1"/>
      <c r="P1074" s="1"/>
      <c r="Q1074" s="1"/>
      <c r="R1074" s="1"/>
      <c r="S1074" s="1"/>
      <c r="T1074" s="1"/>
      <c r="U1074" s="1"/>
      <c r="V1074" s="1"/>
      <c r="W1074" s="1"/>
      <c r="X1074" s="1"/>
      <c r="Y1074" s="1"/>
      <c r="Z1074" s="1"/>
    </row>
    <row r="1075" spans="1:26" ht="12.75" customHeight="1" x14ac:dyDescent="0.25">
      <c r="A1075" s="1"/>
      <c r="B1075" s="1"/>
      <c r="C1075" s="1"/>
      <c r="D1075" s="1"/>
      <c r="E1075" s="1"/>
      <c r="I1075" s="1"/>
      <c r="J1075" s="1"/>
      <c r="K1075" s="1"/>
      <c r="L1075" s="1"/>
      <c r="M1075" s="1"/>
      <c r="N1075" s="1"/>
      <c r="O1075" s="1"/>
      <c r="P1075" s="1"/>
      <c r="Q1075" s="1"/>
      <c r="R1075" s="1"/>
      <c r="S1075" s="1"/>
      <c r="T1075" s="1"/>
      <c r="U1075" s="1"/>
      <c r="V1075" s="1"/>
      <c r="W1075" s="1"/>
      <c r="X1075" s="1"/>
      <c r="Y1075" s="1"/>
      <c r="Z1075" s="1"/>
    </row>
    <row r="1076" spans="1:26" ht="12.75" customHeight="1" x14ac:dyDescent="0.25">
      <c r="A1076" s="1"/>
      <c r="B1076" s="1"/>
      <c r="C1076" s="1"/>
      <c r="D1076" s="1"/>
      <c r="E1076" s="1"/>
      <c r="I1076" s="1"/>
      <c r="J1076" s="1"/>
      <c r="K1076" s="1"/>
      <c r="L1076" s="1"/>
      <c r="M1076" s="1"/>
      <c r="N1076" s="1"/>
      <c r="O1076" s="1"/>
      <c r="P1076" s="1"/>
      <c r="Q1076" s="1"/>
      <c r="R1076" s="1"/>
      <c r="S1076" s="1"/>
      <c r="T1076" s="1"/>
      <c r="U1076" s="1"/>
      <c r="V1076" s="1"/>
      <c r="W1076" s="1"/>
      <c r="X1076" s="1"/>
      <c r="Y1076" s="1"/>
      <c r="Z1076" s="1"/>
    </row>
    <row r="1077" spans="1:26" ht="12.75" customHeight="1" x14ac:dyDescent="0.25">
      <c r="A1077" s="1"/>
      <c r="B1077" s="1"/>
      <c r="C1077" s="1"/>
      <c r="D1077" s="1"/>
      <c r="E1077" s="1"/>
      <c r="I1077" s="1"/>
      <c r="J1077" s="1"/>
      <c r="K1077" s="1"/>
      <c r="L1077" s="1"/>
      <c r="M1077" s="1"/>
      <c r="N1077" s="1"/>
      <c r="O1077" s="1"/>
      <c r="P1077" s="1"/>
      <c r="Q1077" s="1"/>
      <c r="R1077" s="1"/>
      <c r="S1077" s="1"/>
      <c r="T1077" s="1"/>
      <c r="U1077" s="1"/>
      <c r="V1077" s="1"/>
      <c r="W1077" s="1"/>
      <c r="X1077" s="1"/>
      <c r="Y1077" s="1"/>
      <c r="Z1077" s="1"/>
    </row>
    <row r="1078" spans="1:26" ht="12.75" customHeight="1" x14ac:dyDescent="0.25">
      <c r="A1078" s="1"/>
      <c r="B1078" s="1"/>
      <c r="C1078" s="1"/>
      <c r="D1078" s="1"/>
      <c r="E1078" s="1"/>
      <c r="I1078" s="1"/>
      <c r="J1078" s="1"/>
      <c r="K1078" s="1"/>
      <c r="L1078" s="1"/>
      <c r="M1078" s="1"/>
      <c r="N1078" s="1"/>
      <c r="O1078" s="1"/>
      <c r="P1078" s="1"/>
      <c r="Q1078" s="1"/>
      <c r="R1078" s="1"/>
      <c r="S1078" s="1"/>
      <c r="T1078" s="1"/>
      <c r="U1078" s="1"/>
      <c r="V1078" s="1"/>
      <c r="W1078" s="1"/>
      <c r="X1078" s="1"/>
      <c r="Y1078" s="1"/>
      <c r="Z1078" s="1"/>
    </row>
    <row r="1079" spans="1:26" ht="12.75" customHeight="1" x14ac:dyDescent="0.25">
      <c r="A1079" s="1"/>
      <c r="B1079" s="1"/>
      <c r="C1079" s="1"/>
      <c r="D1079" s="1"/>
      <c r="E1079" s="1"/>
      <c r="I1079" s="1"/>
      <c r="J1079" s="1"/>
      <c r="K1079" s="1"/>
      <c r="L1079" s="1"/>
      <c r="M1079" s="1"/>
      <c r="N1079" s="1"/>
      <c r="O1079" s="1"/>
      <c r="P1079" s="1"/>
      <c r="Q1079" s="1"/>
      <c r="R1079" s="1"/>
      <c r="S1079" s="1"/>
      <c r="T1079" s="1"/>
      <c r="U1079" s="1"/>
      <c r="V1079" s="1"/>
      <c r="W1079" s="1"/>
      <c r="X1079" s="1"/>
      <c r="Y1079" s="1"/>
      <c r="Z1079" s="1"/>
    </row>
    <row r="1080" spans="1:26" ht="12.75" customHeight="1" x14ac:dyDescent="0.25">
      <c r="A1080" s="1"/>
      <c r="B1080" s="1"/>
      <c r="C1080" s="1"/>
      <c r="D1080" s="1"/>
      <c r="E1080" s="1"/>
      <c r="I1080" s="1"/>
      <c r="J1080" s="1"/>
      <c r="K1080" s="1"/>
      <c r="L1080" s="1"/>
      <c r="M1080" s="1"/>
      <c r="N1080" s="1"/>
      <c r="O1080" s="1"/>
      <c r="P1080" s="1"/>
      <c r="Q1080" s="1"/>
      <c r="R1080" s="1"/>
      <c r="S1080" s="1"/>
      <c r="T1080" s="1"/>
      <c r="U1080" s="1"/>
      <c r="V1080" s="1"/>
      <c r="W1080" s="1"/>
      <c r="X1080" s="1"/>
      <c r="Y1080" s="1"/>
      <c r="Z1080" s="1"/>
    </row>
    <row r="1081" spans="1:26" ht="12.75" customHeight="1" x14ac:dyDescent="0.25">
      <c r="A1081" s="1"/>
      <c r="B1081" s="1"/>
      <c r="C1081" s="1"/>
      <c r="D1081" s="1"/>
      <c r="E1081" s="1"/>
      <c r="I1081" s="1"/>
      <c r="J1081" s="1"/>
      <c r="K1081" s="1"/>
      <c r="L1081" s="1"/>
      <c r="M1081" s="1"/>
      <c r="N1081" s="1"/>
      <c r="O1081" s="1"/>
      <c r="P1081" s="1"/>
      <c r="Q1081" s="1"/>
      <c r="R1081" s="1"/>
      <c r="S1081" s="1"/>
      <c r="T1081" s="1"/>
      <c r="U1081" s="1"/>
      <c r="V1081" s="1"/>
      <c r="W1081" s="1"/>
      <c r="X1081" s="1"/>
      <c r="Y1081" s="1"/>
      <c r="Z1081" s="1"/>
    </row>
    <row r="1082" spans="1:26" ht="12.75" customHeight="1" x14ac:dyDescent="0.25">
      <c r="A1082" s="1"/>
      <c r="B1082" s="1"/>
      <c r="C1082" s="1"/>
      <c r="D1082" s="1"/>
      <c r="E1082" s="1"/>
      <c r="I1082" s="1"/>
      <c r="J1082" s="1"/>
      <c r="K1082" s="1"/>
      <c r="L1082" s="1"/>
      <c r="M1082" s="1"/>
      <c r="N1082" s="1"/>
      <c r="O1082" s="1"/>
      <c r="P1082" s="1"/>
      <c r="Q1082" s="1"/>
      <c r="R1082" s="1"/>
      <c r="S1082" s="1"/>
      <c r="T1082" s="1"/>
      <c r="U1082" s="1"/>
      <c r="V1082" s="1"/>
      <c r="W1082" s="1"/>
      <c r="X1082" s="1"/>
      <c r="Y1082" s="1"/>
      <c r="Z1082" s="1"/>
    </row>
    <row r="1083" spans="1:26" ht="12.75" customHeight="1" x14ac:dyDescent="0.25">
      <c r="A1083" s="1"/>
      <c r="B1083" s="1"/>
      <c r="C1083" s="1"/>
      <c r="D1083" s="1"/>
      <c r="E1083" s="1"/>
      <c r="I1083" s="1"/>
      <c r="J1083" s="1"/>
      <c r="K1083" s="1"/>
      <c r="L1083" s="1"/>
      <c r="M1083" s="1"/>
      <c r="N1083" s="1"/>
      <c r="O1083" s="1"/>
      <c r="P1083" s="1"/>
      <c r="Q1083" s="1"/>
      <c r="R1083" s="1"/>
      <c r="S1083" s="1"/>
      <c r="T1083" s="1"/>
      <c r="U1083" s="1"/>
      <c r="V1083" s="1"/>
      <c r="W1083" s="1"/>
      <c r="X1083" s="1"/>
      <c r="Y1083" s="1"/>
      <c r="Z1083" s="1"/>
    </row>
    <row r="1084" spans="1:26" ht="12.75" customHeight="1" x14ac:dyDescent="0.25">
      <c r="A1084" s="1"/>
      <c r="B1084" s="1"/>
      <c r="C1084" s="1"/>
      <c r="D1084" s="1"/>
      <c r="E1084" s="1"/>
      <c r="I1084" s="1"/>
      <c r="J1084" s="1"/>
      <c r="K1084" s="1"/>
      <c r="L1084" s="1"/>
      <c r="M1084" s="1"/>
      <c r="N1084" s="1"/>
      <c r="O1084" s="1"/>
      <c r="P1084" s="1"/>
      <c r="Q1084" s="1"/>
      <c r="R1084" s="1"/>
      <c r="S1084" s="1"/>
      <c r="T1084" s="1"/>
      <c r="U1084" s="1"/>
      <c r="V1084" s="1"/>
      <c r="W1084" s="1"/>
      <c r="X1084" s="1"/>
      <c r="Y1084" s="1"/>
      <c r="Z1084" s="1"/>
    </row>
    <row r="1085" spans="1:26" ht="12.75" customHeight="1" x14ac:dyDescent="0.25">
      <c r="A1085" s="1"/>
      <c r="B1085" s="1"/>
      <c r="C1085" s="1"/>
      <c r="D1085" s="1"/>
      <c r="E1085" s="1"/>
      <c r="I1085" s="1"/>
      <c r="J1085" s="1"/>
      <c r="K1085" s="1"/>
      <c r="L1085" s="1"/>
      <c r="M1085" s="1"/>
      <c r="N1085" s="1"/>
      <c r="O1085" s="1"/>
      <c r="P1085" s="1"/>
      <c r="Q1085" s="1"/>
      <c r="R1085" s="1"/>
      <c r="S1085" s="1"/>
      <c r="T1085" s="1"/>
      <c r="U1085" s="1"/>
      <c r="V1085" s="1"/>
      <c r="W1085" s="1"/>
      <c r="X1085" s="1"/>
      <c r="Y1085" s="1"/>
      <c r="Z1085" s="1"/>
    </row>
    <row r="1086" spans="1:26" ht="12.75" customHeight="1" x14ac:dyDescent="0.25">
      <c r="A1086" s="1"/>
      <c r="B1086" s="1"/>
      <c r="C1086" s="1"/>
      <c r="D1086" s="1"/>
      <c r="E1086" s="1"/>
      <c r="I1086" s="1"/>
      <c r="J1086" s="1"/>
      <c r="K1086" s="1"/>
      <c r="L1086" s="1"/>
      <c r="M1086" s="1"/>
      <c r="N1086" s="1"/>
      <c r="O1086" s="1"/>
      <c r="P1086" s="1"/>
      <c r="Q1086" s="1"/>
      <c r="R1086" s="1"/>
      <c r="S1086" s="1"/>
      <c r="T1086" s="1"/>
      <c r="U1086" s="1"/>
      <c r="V1086" s="1"/>
      <c r="W1086" s="1"/>
      <c r="X1086" s="1"/>
      <c r="Y1086" s="1"/>
      <c r="Z1086" s="1"/>
    </row>
    <row r="1087" spans="1:26" ht="12.75" customHeight="1" x14ac:dyDescent="0.25">
      <c r="A1087" s="1"/>
      <c r="B1087" s="1"/>
      <c r="C1087" s="1"/>
      <c r="D1087" s="1"/>
      <c r="E1087" s="1"/>
      <c r="I1087" s="1"/>
      <c r="J1087" s="1"/>
      <c r="K1087" s="1"/>
      <c r="L1087" s="1"/>
      <c r="M1087" s="1"/>
      <c r="N1087" s="1"/>
      <c r="O1087" s="1"/>
      <c r="P1087" s="1"/>
      <c r="Q1087" s="1"/>
      <c r="R1087" s="1"/>
      <c r="S1087" s="1"/>
      <c r="T1087" s="1"/>
      <c r="U1087" s="1"/>
      <c r="V1087" s="1"/>
      <c r="W1087" s="1"/>
      <c r="X1087" s="1"/>
      <c r="Y1087" s="1"/>
      <c r="Z1087" s="1"/>
    </row>
    <row r="1088" spans="1:26" ht="12.75" customHeight="1" x14ac:dyDescent="0.25">
      <c r="A1088" s="1"/>
      <c r="B1088" s="1"/>
      <c r="C1088" s="1"/>
      <c r="D1088" s="1"/>
      <c r="E1088" s="1"/>
      <c r="I1088" s="1"/>
      <c r="J1088" s="1"/>
      <c r="K1088" s="1"/>
      <c r="L1088" s="1"/>
      <c r="M1088" s="1"/>
      <c r="N1088" s="1"/>
      <c r="O1088" s="1"/>
      <c r="P1088" s="1"/>
      <c r="Q1088" s="1"/>
      <c r="R1088" s="1"/>
      <c r="S1088" s="1"/>
      <c r="T1088" s="1"/>
      <c r="U1088" s="1"/>
      <c r="V1088" s="1"/>
      <c r="W1088" s="1"/>
      <c r="X1088" s="1"/>
      <c r="Y1088" s="1"/>
      <c r="Z1088" s="1"/>
    </row>
    <row r="1089" spans="1:26" ht="12.75" customHeight="1" x14ac:dyDescent="0.25">
      <c r="A1089" s="1"/>
      <c r="B1089" s="1"/>
      <c r="C1089" s="1"/>
      <c r="D1089" s="1"/>
      <c r="E1089" s="1"/>
      <c r="I1089" s="1"/>
      <c r="J1089" s="1"/>
      <c r="K1089" s="1"/>
      <c r="L1089" s="1"/>
      <c r="M1089" s="1"/>
      <c r="N1089" s="1"/>
      <c r="O1089" s="1"/>
      <c r="P1089" s="1"/>
      <c r="Q1089" s="1"/>
      <c r="R1089" s="1"/>
      <c r="S1089" s="1"/>
      <c r="T1089" s="1"/>
      <c r="U1089" s="1"/>
      <c r="V1089" s="1"/>
      <c r="W1089" s="1"/>
      <c r="X1089" s="1"/>
      <c r="Y1089" s="1"/>
      <c r="Z1089" s="1"/>
    </row>
    <row r="1090" spans="1:26" ht="12.75" customHeight="1" x14ac:dyDescent="0.25">
      <c r="A1090" s="1"/>
      <c r="B1090" s="1"/>
      <c r="C1090" s="1"/>
      <c r="D1090" s="1"/>
      <c r="E1090" s="1"/>
      <c r="I1090" s="1"/>
      <c r="J1090" s="1"/>
      <c r="K1090" s="1"/>
      <c r="L1090" s="1"/>
      <c r="M1090" s="1"/>
      <c r="N1090" s="1"/>
      <c r="O1090" s="1"/>
      <c r="P1090" s="1"/>
      <c r="Q1090" s="1"/>
      <c r="R1090" s="1"/>
      <c r="S1090" s="1"/>
      <c r="T1090" s="1"/>
      <c r="U1090" s="1"/>
      <c r="V1090" s="1"/>
      <c r="W1090" s="1"/>
      <c r="X1090" s="1"/>
      <c r="Y1090" s="1"/>
      <c r="Z1090" s="1"/>
    </row>
    <row r="1091" spans="1:26" ht="12.75" customHeight="1" x14ac:dyDescent="0.25">
      <c r="A1091" s="1"/>
      <c r="B1091" s="1"/>
      <c r="C1091" s="1"/>
      <c r="D1091" s="1"/>
      <c r="E1091" s="1"/>
      <c r="I1091" s="1"/>
      <c r="J1091" s="1"/>
      <c r="K1091" s="1"/>
      <c r="L1091" s="1"/>
      <c r="M1091" s="1"/>
      <c r="N1091" s="1"/>
      <c r="O1091" s="1"/>
      <c r="P1091" s="1"/>
      <c r="Q1091" s="1"/>
      <c r="R1091" s="1"/>
      <c r="S1091" s="1"/>
      <c r="T1091" s="1"/>
      <c r="U1091" s="1"/>
      <c r="V1091" s="1"/>
      <c r="W1091" s="1"/>
      <c r="X1091" s="1"/>
      <c r="Y1091" s="1"/>
      <c r="Z1091" s="1"/>
    </row>
    <row r="1092" spans="1:26" ht="12.75" customHeight="1" x14ac:dyDescent="0.25">
      <c r="A1092" s="1"/>
      <c r="B1092" s="1"/>
      <c r="C1092" s="1"/>
      <c r="D1092" s="1"/>
      <c r="E1092" s="1"/>
      <c r="I1092" s="1"/>
      <c r="J1092" s="1"/>
      <c r="K1092" s="1"/>
      <c r="L1092" s="1"/>
      <c r="M1092" s="1"/>
      <c r="N1092" s="1"/>
      <c r="O1092" s="1"/>
      <c r="P1092" s="1"/>
      <c r="Q1092" s="1"/>
      <c r="R1092" s="1"/>
      <c r="S1092" s="1"/>
      <c r="T1092" s="1"/>
      <c r="U1092" s="1"/>
      <c r="V1092" s="1"/>
      <c r="W1092" s="1"/>
      <c r="X1092" s="1"/>
      <c r="Y1092" s="1"/>
      <c r="Z1092" s="1"/>
    </row>
    <row r="1093" spans="1:26" ht="12.75" customHeight="1" x14ac:dyDescent="0.25">
      <c r="A1093" s="1"/>
      <c r="B1093" s="1"/>
      <c r="C1093" s="1"/>
      <c r="D1093" s="1"/>
      <c r="E1093" s="1"/>
      <c r="I1093" s="1"/>
      <c r="J1093" s="1"/>
      <c r="K1093" s="1"/>
      <c r="L1093" s="1"/>
      <c r="M1093" s="1"/>
      <c r="N1093" s="1"/>
      <c r="O1093" s="1"/>
      <c r="P1093" s="1"/>
      <c r="Q1093" s="1"/>
      <c r="R1093" s="1"/>
      <c r="S1093" s="1"/>
      <c r="T1093" s="1"/>
      <c r="U1093" s="1"/>
      <c r="V1093" s="1"/>
      <c r="W1093" s="1"/>
      <c r="X1093" s="1"/>
      <c r="Y1093" s="1"/>
      <c r="Z1093" s="1"/>
    </row>
    <row r="1094" spans="1:26" ht="12.75" customHeight="1" x14ac:dyDescent="0.25">
      <c r="A1094" s="1"/>
      <c r="B1094" s="1"/>
      <c r="C1094" s="1"/>
      <c r="D1094" s="1"/>
      <c r="E1094" s="1"/>
      <c r="I1094" s="1"/>
      <c r="J1094" s="1"/>
      <c r="K1094" s="1"/>
      <c r="L1094" s="1"/>
      <c r="M1094" s="1"/>
      <c r="N1094" s="1"/>
      <c r="O1094" s="1"/>
      <c r="P1094" s="1"/>
      <c r="Q1094" s="1"/>
      <c r="R1094" s="1"/>
      <c r="S1094" s="1"/>
      <c r="T1094" s="1"/>
      <c r="U1094" s="1"/>
      <c r="V1094" s="1"/>
      <c r="W1094" s="1"/>
      <c r="X1094" s="1"/>
      <c r="Y1094" s="1"/>
      <c r="Z1094" s="1"/>
    </row>
    <row r="1095" spans="1:26" ht="12.75" customHeight="1" x14ac:dyDescent="0.25">
      <c r="A1095" s="1"/>
      <c r="B1095" s="1"/>
      <c r="C1095" s="1"/>
      <c r="D1095" s="1"/>
      <c r="E1095" s="1"/>
      <c r="I1095" s="1"/>
      <c r="J1095" s="1"/>
      <c r="K1095" s="1"/>
      <c r="L1095" s="1"/>
      <c r="M1095" s="1"/>
      <c r="N1095" s="1"/>
      <c r="O1095" s="1"/>
      <c r="P1095" s="1"/>
      <c r="Q1095" s="1"/>
      <c r="R1095" s="1"/>
      <c r="S1095" s="1"/>
      <c r="T1095" s="1"/>
      <c r="U1095" s="1"/>
      <c r="V1095" s="1"/>
      <c r="W1095" s="1"/>
      <c r="X1095" s="1"/>
      <c r="Y1095" s="1"/>
      <c r="Z1095" s="1"/>
    </row>
    <row r="1096" spans="1:26" ht="12.75" customHeight="1" x14ac:dyDescent="0.25">
      <c r="A1096" s="1"/>
      <c r="B1096" s="1"/>
      <c r="C1096" s="1"/>
      <c r="D1096" s="1"/>
      <c r="E1096" s="1"/>
      <c r="I1096" s="1"/>
      <c r="J1096" s="1"/>
      <c r="K1096" s="1"/>
      <c r="L1096" s="1"/>
      <c r="M1096" s="1"/>
      <c r="N1096" s="1"/>
      <c r="O1096" s="1"/>
      <c r="P1096" s="1"/>
      <c r="Q1096" s="1"/>
      <c r="R1096" s="1"/>
      <c r="S1096" s="1"/>
      <c r="T1096" s="1"/>
      <c r="U1096" s="1"/>
      <c r="V1096" s="1"/>
      <c r="W1096" s="1"/>
      <c r="X1096" s="1"/>
      <c r="Y1096" s="1"/>
      <c r="Z1096" s="1"/>
    </row>
    <row r="1097" spans="1:26" ht="12.75" customHeight="1" x14ac:dyDescent="0.25">
      <c r="A1097" s="1"/>
      <c r="B1097" s="1"/>
      <c r="C1097" s="1"/>
      <c r="D1097" s="1"/>
      <c r="E1097" s="1"/>
      <c r="I1097" s="1"/>
      <c r="J1097" s="1"/>
      <c r="K1097" s="1"/>
      <c r="L1097" s="1"/>
      <c r="M1097" s="1"/>
      <c r="N1097" s="1"/>
      <c r="O1097" s="1"/>
      <c r="P1097" s="1"/>
      <c r="Q1097" s="1"/>
      <c r="R1097" s="1"/>
      <c r="S1097" s="1"/>
      <c r="T1097" s="1"/>
      <c r="U1097" s="1"/>
      <c r="V1097" s="1"/>
      <c r="W1097" s="1"/>
      <c r="X1097" s="1"/>
      <c r="Y1097" s="1"/>
      <c r="Z1097" s="1"/>
    </row>
    <row r="1098" spans="1:26" ht="12.75" customHeight="1" x14ac:dyDescent="0.25">
      <c r="A1098" s="1"/>
      <c r="B1098" s="1"/>
      <c r="C1098" s="1"/>
      <c r="D1098" s="1"/>
      <c r="E1098" s="1"/>
      <c r="I1098" s="1"/>
      <c r="J1098" s="1"/>
      <c r="K1098" s="1"/>
      <c r="L1098" s="1"/>
      <c r="M1098" s="1"/>
      <c r="N1098" s="1"/>
      <c r="O1098" s="1"/>
      <c r="P1098" s="1"/>
      <c r="Q1098" s="1"/>
      <c r="R1098" s="1"/>
      <c r="S1098" s="1"/>
      <c r="T1098" s="1"/>
      <c r="U1098" s="1"/>
      <c r="V1098" s="1"/>
      <c r="W1098" s="1"/>
      <c r="X1098" s="1"/>
      <c r="Y1098" s="1"/>
      <c r="Z1098" s="1"/>
    </row>
    <row r="1099" spans="1:26" ht="12.75" customHeight="1" x14ac:dyDescent="0.25">
      <c r="A1099" s="1"/>
      <c r="B1099" s="1"/>
      <c r="C1099" s="1"/>
      <c r="D1099" s="1"/>
      <c r="E1099" s="1"/>
      <c r="I1099" s="1"/>
      <c r="J1099" s="1"/>
      <c r="K1099" s="1"/>
      <c r="L1099" s="1"/>
      <c r="M1099" s="1"/>
      <c r="N1099" s="1"/>
      <c r="O1099" s="1"/>
      <c r="P1099" s="1"/>
      <c r="Q1099" s="1"/>
      <c r="R1099" s="1"/>
      <c r="S1099" s="1"/>
      <c r="T1099" s="1"/>
      <c r="U1099" s="1"/>
      <c r="V1099" s="1"/>
      <c r="W1099" s="1"/>
      <c r="X1099" s="1"/>
      <c r="Y1099" s="1"/>
      <c r="Z1099" s="1"/>
    </row>
    <row r="1100" spans="1:26" ht="12.75" customHeight="1" x14ac:dyDescent="0.25">
      <c r="A1100" s="1"/>
      <c r="B1100" s="1"/>
      <c r="C1100" s="1"/>
      <c r="D1100" s="1"/>
      <c r="E1100" s="1"/>
      <c r="I1100" s="1"/>
      <c r="J1100" s="1"/>
      <c r="K1100" s="1"/>
      <c r="L1100" s="1"/>
      <c r="M1100" s="1"/>
      <c r="N1100" s="1"/>
      <c r="O1100" s="1"/>
      <c r="P1100" s="1"/>
      <c r="Q1100" s="1"/>
      <c r="R1100" s="1"/>
      <c r="S1100" s="1"/>
      <c r="T1100" s="1"/>
      <c r="U1100" s="1"/>
      <c r="V1100" s="1"/>
      <c r="W1100" s="1"/>
      <c r="X1100" s="1"/>
      <c r="Y1100" s="1"/>
      <c r="Z1100" s="1"/>
    </row>
    <row r="1101" spans="1:26" ht="12.75" customHeight="1" x14ac:dyDescent="0.25">
      <c r="A1101" s="1"/>
      <c r="B1101" s="1"/>
      <c r="C1101" s="1"/>
      <c r="D1101" s="1"/>
      <c r="E1101" s="1"/>
      <c r="I1101" s="1"/>
      <c r="J1101" s="1"/>
      <c r="K1101" s="1"/>
      <c r="L1101" s="1"/>
      <c r="M1101" s="1"/>
      <c r="N1101" s="1"/>
      <c r="O1101" s="1"/>
      <c r="P1101" s="1"/>
      <c r="Q1101" s="1"/>
      <c r="R1101" s="1"/>
      <c r="S1101" s="1"/>
      <c r="T1101" s="1"/>
      <c r="U1101" s="1"/>
      <c r="V1101" s="1"/>
      <c r="W1101" s="1"/>
      <c r="X1101" s="1"/>
      <c r="Y1101" s="1"/>
      <c r="Z1101" s="1"/>
    </row>
    <row r="1102" spans="1:26" ht="12.75" customHeight="1" x14ac:dyDescent="0.25">
      <c r="A1102" s="1"/>
      <c r="B1102" s="1"/>
      <c r="C1102" s="1"/>
      <c r="D1102" s="1"/>
      <c r="E1102" s="1"/>
      <c r="I1102" s="1"/>
      <c r="J1102" s="1"/>
      <c r="K1102" s="1"/>
      <c r="L1102" s="1"/>
      <c r="M1102" s="1"/>
      <c r="N1102" s="1"/>
      <c r="O1102" s="1"/>
      <c r="P1102" s="1"/>
      <c r="Q1102" s="1"/>
      <c r="R1102" s="1"/>
      <c r="S1102" s="1"/>
      <c r="T1102" s="1"/>
      <c r="U1102" s="1"/>
      <c r="V1102" s="1"/>
      <c r="W1102" s="1"/>
      <c r="X1102" s="1"/>
      <c r="Y1102" s="1"/>
      <c r="Z1102" s="1"/>
    </row>
    <row r="1103" spans="1:26" ht="12.75" customHeight="1" x14ac:dyDescent="0.25">
      <c r="A1103" s="1"/>
      <c r="B1103" s="1"/>
      <c r="C1103" s="1"/>
      <c r="D1103" s="1"/>
      <c r="E1103" s="1"/>
      <c r="I1103" s="1"/>
      <c r="J1103" s="1"/>
      <c r="K1103" s="1"/>
      <c r="L1103" s="1"/>
      <c r="M1103" s="1"/>
      <c r="N1103" s="1"/>
      <c r="O1103" s="1"/>
      <c r="P1103" s="1"/>
      <c r="Q1103" s="1"/>
      <c r="R1103" s="1"/>
      <c r="S1103" s="1"/>
      <c r="T1103" s="1"/>
      <c r="U1103" s="1"/>
      <c r="V1103" s="1"/>
      <c r="W1103" s="1"/>
      <c r="X1103" s="1"/>
      <c r="Y1103" s="1"/>
      <c r="Z1103" s="1"/>
    </row>
    <row r="1104" spans="1:26" ht="12.75" customHeight="1" x14ac:dyDescent="0.25">
      <c r="A1104" s="1"/>
      <c r="B1104" s="1"/>
      <c r="C1104" s="1"/>
      <c r="D1104" s="1"/>
      <c r="E1104" s="1"/>
      <c r="I1104" s="1"/>
      <c r="J1104" s="1"/>
      <c r="K1104" s="1"/>
      <c r="L1104" s="1"/>
      <c r="M1104" s="1"/>
      <c r="N1104" s="1"/>
      <c r="O1104" s="1"/>
      <c r="P1104" s="1"/>
      <c r="Q1104" s="1"/>
      <c r="R1104" s="1"/>
      <c r="S1104" s="1"/>
      <c r="T1104" s="1"/>
      <c r="U1104" s="1"/>
      <c r="V1104" s="1"/>
      <c r="W1104" s="1"/>
      <c r="X1104" s="1"/>
      <c r="Y1104" s="1"/>
      <c r="Z1104" s="1"/>
    </row>
    <row r="1105" spans="1:26" ht="12.75" customHeight="1" x14ac:dyDescent="0.25">
      <c r="A1105" s="1"/>
      <c r="B1105" s="1"/>
      <c r="C1105" s="1"/>
      <c r="D1105" s="1"/>
      <c r="E1105" s="1"/>
      <c r="I1105" s="1"/>
      <c r="J1105" s="1"/>
      <c r="K1105" s="1"/>
      <c r="L1105" s="1"/>
      <c r="M1105" s="1"/>
      <c r="N1105" s="1"/>
      <c r="O1105" s="1"/>
      <c r="P1105" s="1"/>
      <c r="Q1105" s="1"/>
      <c r="R1105" s="1"/>
      <c r="S1105" s="1"/>
      <c r="T1105" s="1"/>
      <c r="U1105" s="1"/>
      <c r="V1105" s="1"/>
      <c r="W1105" s="1"/>
      <c r="X1105" s="1"/>
      <c r="Y1105" s="1"/>
      <c r="Z1105" s="1"/>
    </row>
    <row r="1106" spans="1:26" ht="12.75" customHeight="1" x14ac:dyDescent="0.25">
      <c r="A1106" s="1"/>
      <c r="B1106" s="1"/>
      <c r="C1106" s="1"/>
      <c r="D1106" s="1"/>
      <c r="E1106" s="1"/>
      <c r="I1106" s="1"/>
      <c r="J1106" s="1"/>
      <c r="K1106" s="1"/>
      <c r="L1106" s="1"/>
      <c r="M1106" s="1"/>
      <c r="N1106" s="1"/>
      <c r="O1106" s="1"/>
      <c r="P1106" s="1"/>
      <c r="Q1106" s="1"/>
      <c r="R1106" s="1"/>
      <c r="S1106" s="1"/>
      <c r="T1106" s="1"/>
      <c r="U1106" s="1"/>
      <c r="V1106" s="1"/>
      <c r="W1106" s="1"/>
      <c r="X1106" s="1"/>
      <c r="Y1106" s="1"/>
      <c r="Z1106" s="1"/>
    </row>
    <row r="1107" spans="1:26" ht="12.75" customHeight="1" x14ac:dyDescent="0.25">
      <c r="A1107" s="1"/>
      <c r="B1107" s="1"/>
      <c r="C1107" s="1"/>
      <c r="D1107" s="1"/>
      <c r="E1107" s="1"/>
      <c r="I1107" s="1"/>
      <c r="J1107" s="1"/>
      <c r="K1107" s="1"/>
      <c r="L1107" s="1"/>
      <c r="M1107" s="1"/>
      <c r="N1107" s="1"/>
      <c r="O1107" s="1"/>
      <c r="P1107" s="1"/>
      <c r="Q1107" s="1"/>
      <c r="R1107" s="1"/>
      <c r="S1107" s="1"/>
      <c r="T1107" s="1"/>
      <c r="U1107" s="1"/>
      <c r="V1107" s="1"/>
      <c r="W1107" s="1"/>
      <c r="X1107" s="1"/>
      <c r="Y1107" s="1"/>
      <c r="Z1107" s="1"/>
    </row>
    <row r="1108" spans="1:26" ht="12.75" customHeight="1" x14ac:dyDescent="0.25">
      <c r="A1108" s="1"/>
      <c r="B1108" s="1"/>
      <c r="C1108" s="1"/>
      <c r="D1108" s="1"/>
      <c r="E1108" s="1"/>
      <c r="I1108" s="1"/>
      <c r="J1108" s="1"/>
      <c r="K1108" s="1"/>
      <c r="L1108" s="1"/>
      <c r="M1108" s="1"/>
      <c r="N1108" s="1"/>
      <c r="O1108" s="1"/>
      <c r="P1108" s="1"/>
      <c r="Q1108" s="1"/>
      <c r="R1108" s="1"/>
      <c r="S1108" s="1"/>
      <c r="T1108" s="1"/>
      <c r="U1108" s="1"/>
      <c r="V1108" s="1"/>
      <c r="W1108" s="1"/>
      <c r="X1108" s="1"/>
      <c r="Y1108" s="1"/>
      <c r="Z1108" s="1"/>
    </row>
    <row r="1109" spans="1:26" ht="12.75" customHeight="1" x14ac:dyDescent="0.25">
      <c r="A1109" s="1"/>
      <c r="B1109" s="1"/>
      <c r="C1109" s="1"/>
      <c r="D1109" s="1"/>
      <c r="E1109" s="1"/>
      <c r="I1109" s="1"/>
      <c r="J1109" s="1"/>
      <c r="K1109" s="1"/>
      <c r="L1109" s="1"/>
      <c r="M1109" s="1"/>
      <c r="N1109" s="1"/>
      <c r="O1109" s="1"/>
      <c r="P1109" s="1"/>
      <c r="Q1109" s="1"/>
      <c r="R1109" s="1"/>
      <c r="S1109" s="1"/>
      <c r="T1109" s="1"/>
      <c r="U1109" s="1"/>
      <c r="V1109" s="1"/>
      <c r="W1109" s="1"/>
      <c r="X1109" s="1"/>
      <c r="Y1109" s="1"/>
      <c r="Z1109" s="1"/>
    </row>
    <row r="1110" spans="1:26" ht="12.75" customHeight="1" x14ac:dyDescent="0.25">
      <c r="A1110" s="1"/>
      <c r="B1110" s="1"/>
      <c r="C1110" s="1"/>
      <c r="D1110" s="1"/>
      <c r="E1110" s="1"/>
      <c r="I1110" s="1"/>
      <c r="J1110" s="1"/>
      <c r="K1110" s="1"/>
      <c r="L1110" s="1"/>
      <c r="M1110" s="1"/>
      <c r="N1110" s="1"/>
      <c r="O1110" s="1"/>
      <c r="P1110" s="1"/>
      <c r="Q1110" s="1"/>
      <c r="R1110" s="1"/>
      <c r="S1110" s="1"/>
      <c r="T1110" s="1"/>
      <c r="U1110" s="1"/>
      <c r="V1110" s="1"/>
      <c r="W1110" s="1"/>
      <c r="X1110" s="1"/>
      <c r="Y1110" s="1"/>
      <c r="Z1110" s="1"/>
    </row>
    <row r="1111" spans="1:26" ht="12.75" customHeight="1" x14ac:dyDescent="0.25">
      <c r="A1111" s="1"/>
      <c r="B1111" s="1"/>
      <c r="C1111" s="1"/>
      <c r="D1111" s="1"/>
      <c r="E1111" s="1"/>
      <c r="I1111" s="1"/>
      <c r="J1111" s="1"/>
      <c r="K1111" s="1"/>
      <c r="L1111" s="1"/>
      <c r="M1111" s="1"/>
      <c r="N1111" s="1"/>
      <c r="O1111" s="1"/>
      <c r="P1111" s="1"/>
      <c r="Q1111" s="1"/>
      <c r="R1111" s="1"/>
      <c r="S1111" s="1"/>
      <c r="T1111" s="1"/>
      <c r="U1111" s="1"/>
      <c r="V1111" s="1"/>
      <c r="W1111" s="1"/>
      <c r="X1111" s="1"/>
      <c r="Y1111" s="1"/>
      <c r="Z1111" s="1"/>
    </row>
    <row r="1112" spans="1:26" ht="12.75" customHeight="1" x14ac:dyDescent="0.25">
      <c r="A1112" s="1"/>
      <c r="B1112" s="1"/>
      <c r="C1112" s="1"/>
      <c r="D1112" s="1"/>
      <c r="E1112" s="1"/>
      <c r="I1112" s="1"/>
      <c r="J1112" s="1"/>
      <c r="K1112" s="1"/>
      <c r="L1112" s="1"/>
      <c r="M1112" s="1"/>
      <c r="N1112" s="1"/>
      <c r="O1112" s="1"/>
      <c r="P1112" s="1"/>
      <c r="Q1112" s="1"/>
      <c r="R1112" s="1"/>
      <c r="S1112" s="1"/>
      <c r="T1112" s="1"/>
      <c r="U1112" s="1"/>
      <c r="V1112" s="1"/>
      <c r="W1112" s="1"/>
      <c r="X1112" s="1"/>
      <c r="Y1112" s="1"/>
      <c r="Z1112" s="1"/>
    </row>
    <row r="1113" spans="1:26" ht="12.75" customHeight="1" x14ac:dyDescent="0.25">
      <c r="A1113" s="1"/>
      <c r="B1113" s="1"/>
      <c r="C1113" s="1"/>
      <c r="D1113" s="1"/>
      <c r="E1113" s="1"/>
      <c r="I1113" s="1"/>
      <c r="J1113" s="1"/>
      <c r="K1113" s="1"/>
      <c r="L1113" s="1"/>
      <c r="M1113" s="1"/>
      <c r="N1113" s="1"/>
      <c r="O1113" s="1"/>
      <c r="P1113" s="1"/>
      <c r="Q1113" s="1"/>
      <c r="R1113" s="1"/>
      <c r="S1113" s="1"/>
      <c r="T1113" s="1"/>
      <c r="U1113" s="1"/>
      <c r="V1113" s="1"/>
      <c r="W1113" s="1"/>
      <c r="X1113" s="1"/>
      <c r="Y1113" s="1"/>
      <c r="Z1113" s="1"/>
    </row>
    <row r="1114" spans="1:26" ht="12.75" customHeight="1" x14ac:dyDescent="0.25">
      <c r="A1114" s="1"/>
      <c r="B1114" s="1"/>
      <c r="C1114" s="1"/>
      <c r="D1114" s="1"/>
      <c r="E1114" s="1"/>
      <c r="I1114" s="1"/>
      <c r="J1114" s="1"/>
      <c r="K1114" s="1"/>
      <c r="L1114" s="1"/>
      <c r="M1114" s="1"/>
      <c r="N1114" s="1"/>
      <c r="O1114" s="1"/>
      <c r="P1114" s="1"/>
      <c r="Q1114" s="1"/>
      <c r="R1114" s="1"/>
      <c r="S1114" s="1"/>
      <c r="T1114" s="1"/>
      <c r="U1114" s="1"/>
      <c r="V1114" s="1"/>
      <c r="W1114" s="1"/>
      <c r="X1114" s="1"/>
      <c r="Y1114" s="1"/>
      <c r="Z1114" s="1"/>
    </row>
    <row r="1115" spans="1:26" ht="12.75" customHeight="1" x14ac:dyDescent="0.25">
      <c r="A1115" s="1"/>
      <c r="B1115" s="1"/>
      <c r="C1115" s="1"/>
      <c r="D1115" s="1"/>
      <c r="E1115" s="1"/>
      <c r="I1115" s="1"/>
      <c r="J1115" s="1"/>
      <c r="K1115" s="1"/>
      <c r="L1115" s="1"/>
      <c r="M1115" s="1"/>
      <c r="N1115" s="1"/>
      <c r="O1115" s="1"/>
      <c r="P1115" s="1"/>
      <c r="Q1115" s="1"/>
      <c r="R1115" s="1"/>
      <c r="S1115" s="1"/>
      <c r="T1115" s="1"/>
      <c r="U1115" s="1"/>
      <c r="V1115" s="1"/>
      <c r="W1115" s="1"/>
      <c r="X1115" s="1"/>
      <c r="Y1115" s="1"/>
      <c r="Z1115" s="1"/>
    </row>
    <row r="1116" spans="1:26" ht="12.75" customHeight="1" x14ac:dyDescent="0.25">
      <c r="A1116" s="1"/>
      <c r="B1116" s="1"/>
      <c r="C1116" s="1"/>
      <c r="D1116" s="1"/>
      <c r="E1116" s="1"/>
      <c r="I1116" s="1"/>
      <c r="J1116" s="1"/>
      <c r="K1116" s="1"/>
      <c r="L1116" s="1"/>
      <c r="M1116" s="1"/>
      <c r="N1116" s="1"/>
      <c r="O1116" s="1"/>
      <c r="P1116" s="1"/>
      <c r="Q1116" s="1"/>
      <c r="R1116" s="1"/>
      <c r="S1116" s="1"/>
      <c r="T1116" s="1"/>
      <c r="U1116" s="1"/>
      <c r="V1116" s="1"/>
      <c r="W1116" s="1"/>
      <c r="X1116" s="1"/>
      <c r="Y1116" s="1"/>
      <c r="Z1116" s="1"/>
    </row>
    <row r="1117" spans="1:26" ht="12.75" customHeight="1" x14ac:dyDescent="0.25">
      <c r="A1117" s="1"/>
      <c r="B1117" s="1"/>
      <c r="C1117" s="1"/>
      <c r="D1117" s="1"/>
      <c r="E1117" s="1"/>
      <c r="I1117" s="1"/>
      <c r="J1117" s="1"/>
      <c r="K1117" s="1"/>
      <c r="L1117" s="1"/>
      <c r="M1117" s="1"/>
      <c r="N1117" s="1"/>
      <c r="O1117" s="1"/>
      <c r="P1117" s="1"/>
      <c r="Q1117" s="1"/>
      <c r="R1117" s="1"/>
      <c r="S1117" s="1"/>
      <c r="T1117" s="1"/>
      <c r="U1117" s="1"/>
      <c r="V1117" s="1"/>
      <c r="W1117" s="1"/>
      <c r="X1117" s="1"/>
      <c r="Y1117" s="1"/>
      <c r="Z1117" s="1"/>
    </row>
    <row r="1118" spans="1:26" ht="12.75" customHeight="1" x14ac:dyDescent="0.25">
      <c r="A1118" s="1"/>
      <c r="B1118" s="1"/>
      <c r="C1118" s="1"/>
      <c r="D1118" s="1"/>
      <c r="E1118" s="1"/>
      <c r="I1118" s="1"/>
      <c r="J1118" s="1"/>
      <c r="K1118" s="1"/>
      <c r="L1118" s="1"/>
      <c r="M1118" s="1"/>
      <c r="N1118" s="1"/>
      <c r="O1118" s="1"/>
      <c r="P1118" s="1"/>
      <c r="Q1118" s="1"/>
      <c r="R1118" s="1"/>
      <c r="S1118" s="1"/>
      <c r="T1118" s="1"/>
      <c r="U1118" s="1"/>
      <c r="V1118" s="1"/>
      <c r="W1118" s="1"/>
      <c r="X1118" s="1"/>
      <c r="Y1118" s="1"/>
      <c r="Z1118" s="1"/>
    </row>
    <row r="1119" spans="1:26" ht="12.75" customHeight="1" x14ac:dyDescent="0.25">
      <c r="A1119" s="1"/>
      <c r="B1119" s="1"/>
      <c r="C1119" s="1"/>
      <c r="D1119" s="1"/>
      <c r="E1119" s="1"/>
      <c r="I1119" s="1"/>
      <c r="J1119" s="1"/>
      <c r="K1119" s="1"/>
      <c r="L1119" s="1"/>
      <c r="M1119" s="1"/>
      <c r="N1119" s="1"/>
      <c r="O1119" s="1"/>
      <c r="P1119" s="1"/>
      <c r="Q1119" s="1"/>
      <c r="R1119" s="1"/>
      <c r="S1119" s="1"/>
      <c r="T1119" s="1"/>
      <c r="U1119" s="1"/>
      <c r="V1119" s="1"/>
      <c r="W1119" s="1"/>
      <c r="X1119" s="1"/>
      <c r="Y1119" s="1"/>
      <c r="Z1119" s="1"/>
    </row>
    <row r="1120" spans="1:26" ht="12.75" customHeight="1" x14ac:dyDescent="0.25">
      <c r="A1120" s="1"/>
      <c r="B1120" s="1"/>
      <c r="C1120" s="1"/>
      <c r="D1120" s="1"/>
      <c r="E1120" s="1"/>
      <c r="I1120" s="1"/>
      <c r="J1120" s="1"/>
      <c r="K1120" s="1"/>
      <c r="L1120" s="1"/>
      <c r="M1120" s="1"/>
      <c r="N1120" s="1"/>
      <c r="O1120" s="1"/>
      <c r="P1120" s="1"/>
      <c r="Q1120" s="1"/>
      <c r="R1120" s="1"/>
      <c r="S1120" s="1"/>
      <c r="T1120" s="1"/>
      <c r="U1120" s="1"/>
      <c r="V1120" s="1"/>
      <c r="W1120" s="1"/>
      <c r="X1120" s="1"/>
      <c r="Y1120" s="1"/>
      <c r="Z1120" s="1"/>
    </row>
    <row r="1121" spans="1:26" ht="12.75" customHeight="1" x14ac:dyDescent="0.25">
      <c r="A1121" s="1"/>
      <c r="B1121" s="1"/>
      <c r="C1121" s="1"/>
      <c r="D1121" s="1"/>
      <c r="E1121" s="1"/>
      <c r="I1121" s="1"/>
      <c r="J1121" s="1"/>
      <c r="K1121" s="1"/>
      <c r="L1121" s="1"/>
      <c r="M1121" s="1"/>
      <c r="N1121" s="1"/>
      <c r="O1121" s="1"/>
      <c r="P1121" s="1"/>
      <c r="Q1121" s="1"/>
      <c r="R1121" s="1"/>
      <c r="S1121" s="1"/>
      <c r="T1121" s="1"/>
      <c r="U1121" s="1"/>
      <c r="V1121" s="1"/>
      <c r="W1121" s="1"/>
      <c r="X1121" s="1"/>
      <c r="Y1121" s="1"/>
      <c r="Z1121" s="1"/>
    </row>
  </sheetData>
  <mergeCells count="16">
    <mergeCell ref="A1:B1"/>
    <mergeCell ref="C1:H1"/>
    <mergeCell ref="A2:H2"/>
    <mergeCell ref="A4:H4"/>
    <mergeCell ref="A6:E6"/>
    <mergeCell ref="F6:H6"/>
    <mergeCell ref="A3:H3"/>
    <mergeCell ref="A12:H12"/>
    <mergeCell ref="A180:G180"/>
    <mergeCell ref="A7:E7"/>
    <mergeCell ref="A9:D9"/>
    <mergeCell ref="E9:H9"/>
    <mergeCell ref="A8:E8"/>
    <mergeCell ref="F7:H7"/>
    <mergeCell ref="F8:H8"/>
    <mergeCell ref="A10:D11"/>
  </mergeCells>
  <printOptions horizontalCentered="1" verticalCentered="1"/>
  <pageMargins left="0.31496062992125984" right="0.11811023622047245" top="0.35433070866141736" bottom="0" header="0" footer="0"/>
  <pageSetup scale="78" orientation="portrait" r:id="rId1"/>
  <rowBreaks count="4" manualBreakCount="4">
    <brk id="35" max="7" man="1"/>
    <brk id="87" max="7" man="1"/>
    <brk id="115" max="7" man="1"/>
    <brk id="14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view="pageBreakPreview" zoomScaleNormal="100" zoomScaleSheetLayoutView="100" workbookViewId="0">
      <selection activeCell="I5" sqref="I5:L5"/>
    </sheetView>
  </sheetViews>
  <sheetFormatPr defaultRowHeight="13.2" x14ac:dyDescent="0.25"/>
  <cols>
    <col min="1" max="1" width="12.109375" style="21" customWidth="1"/>
    <col min="2" max="2" width="49.21875" style="21" customWidth="1"/>
    <col min="3" max="3" width="19.5546875" style="21" customWidth="1"/>
    <col min="4" max="4" width="18.88671875" style="21" customWidth="1"/>
    <col min="5" max="5" width="10.44140625" style="21" customWidth="1"/>
    <col min="6" max="12" width="12.77734375" style="21" customWidth="1"/>
    <col min="13" max="13" width="14.21875" style="21" customWidth="1"/>
    <col min="14" max="256" width="8.88671875" style="21"/>
    <col min="257" max="257" width="12.109375" style="21" customWidth="1"/>
    <col min="258" max="258" width="60.21875" style="21" customWidth="1"/>
    <col min="259" max="259" width="22.88671875" style="21" customWidth="1"/>
    <col min="260" max="260" width="21.77734375" style="21" customWidth="1"/>
    <col min="261" max="262" width="25.109375" style="21" customWidth="1"/>
    <col min="263" max="512" width="8.88671875" style="21"/>
    <col min="513" max="513" width="12.109375" style="21" customWidth="1"/>
    <col min="514" max="514" width="60.21875" style="21" customWidth="1"/>
    <col min="515" max="515" width="22.88671875" style="21" customWidth="1"/>
    <col min="516" max="516" width="21.77734375" style="21" customWidth="1"/>
    <col min="517" max="518" width="25.109375" style="21" customWidth="1"/>
    <col min="519" max="768" width="8.88671875" style="21"/>
    <col min="769" max="769" width="12.109375" style="21" customWidth="1"/>
    <col min="770" max="770" width="60.21875" style="21" customWidth="1"/>
    <col min="771" max="771" width="22.88671875" style="21" customWidth="1"/>
    <col min="772" max="772" width="21.77734375" style="21" customWidth="1"/>
    <col min="773" max="774" width="25.109375" style="21" customWidth="1"/>
    <col min="775" max="1024" width="8.88671875" style="21"/>
    <col min="1025" max="1025" width="12.109375" style="21" customWidth="1"/>
    <col min="1026" max="1026" width="60.21875" style="21" customWidth="1"/>
    <col min="1027" max="1027" width="22.88671875" style="21" customWidth="1"/>
    <col min="1028" max="1028" width="21.77734375" style="21" customWidth="1"/>
    <col min="1029" max="1030" width="25.109375" style="21" customWidth="1"/>
    <col min="1031" max="1280" width="8.88671875" style="21"/>
    <col min="1281" max="1281" width="12.109375" style="21" customWidth="1"/>
    <col min="1282" max="1282" width="60.21875" style="21" customWidth="1"/>
    <col min="1283" max="1283" width="22.88671875" style="21" customWidth="1"/>
    <col min="1284" max="1284" width="21.77734375" style="21" customWidth="1"/>
    <col min="1285" max="1286" width="25.109375" style="21" customWidth="1"/>
    <col min="1287" max="1536" width="8.88671875" style="21"/>
    <col min="1537" max="1537" width="12.109375" style="21" customWidth="1"/>
    <col min="1538" max="1538" width="60.21875" style="21" customWidth="1"/>
    <col min="1539" max="1539" width="22.88671875" style="21" customWidth="1"/>
    <col min="1540" max="1540" width="21.77734375" style="21" customWidth="1"/>
    <col min="1541" max="1542" width="25.109375" style="21" customWidth="1"/>
    <col min="1543" max="1792" width="8.88671875" style="21"/>
    <col min="1793" max="1793" width="12.109375" style="21" customWidth="1"/>
    <col min="1794" max="1794" width="60.21875" style="21" customWidth="1"/>
    <col min="1795" max="1795" width="22.88671875" style="21" customWidth="1"/>
    <col min="1796" max="1796" width="21.77734375" style="21" customWidth="1"/>
    <col min="1797" max="1798" width="25.109375" style="21" customWidth="1"/>
    <col min="1799" max="2048" width="8.88671875" style="21"/>
    <col min="2049" max="2049" width="12.109375" style="21" customWidth="1"/>
    <col min="2050" max="2050" width="60.21875" style="21" customWidth="1"/>
    <col min="2051" max="2051" width="22.88671875" style="21" customWidth="1"/>
    <col min="2052" max="2052" width="21.77734375" style="21" customWidth="1"/>
    <col min="2053" max="2054" width="25.109375" style="21" customWidth="1"/>
    <col min="2055" max="2304" width="8.88671875" style="21"/>
    <col min="2305" max="2305" width="12.109375" style="21" customWidth="1"/>
    <col min="2306" max="2306" width="60.21875" style="21" customWidth="1"/>
    <col min="2307" max="2307" width="22.88671875" style="21" customWidth="1"/>
    <col min="2308" max="2308" width="21.77734375" style="21" customWidth="1"/>
    <col min="2309" max="2310" width="25.109375" style="21" customWidth="1"/>
    <col min="2311" max="2560" width="8.88671875" style="21"/>
    <col min="2561" max="2561" width="12.109375" style="21" customWidth="1"/>
    <col min="2562" max="2562" width="60.21875" style="21" customWidth="1"/>
    <col min="2563" max="2563" width="22.88671875" style="21" customWidth="1"/>
    <col min="2564" max="2564" width="21.77734375" style="21" customWidth="1"/>
    <col min="2565" max="2566" width="25.109375" style="21" customWidth="1"/>
    <col min="2567" max="2816" width="8.88671875" style="21"/>
    <col min="2817" max="2817" width="12.109375" style="21" customWidth="1"/>
    <col min="2818" max="2818" width="60.21875" style="21" customWidth="1"/>
    <col min="2819" max="2819" width="22.88671875" style="21" customWidth="1"/>
    <col min="2820" max="2820" width="21.77734375" style="21" customWidth="1"/>
    <col min="2821" max="2822" width="25.109375" style="21" customWidth="1"/>
    <col min="2823" max="3072" width="8.88671875" style="21"/>
    <col min="3073" max="3073" width="12.109375" style="21" customWidth="1"/>
    <col min="3074" max="3074" width="60.21875" style="21" customWidth="1"/>
    <col min="3075" max="3075" width="22.88671875" style="21" customWidth="1"/>
    <col min="3076" max="3076" width="21.77734375" style="21" customWidth="1"/>
    <col min="3077" max="3078" width="25.109375" style="21" customWidth="1"/>
    <col min="3079" max="3328" width="8.88671875" style="21"/>
    <col min="3329" max="3329" width="12.109375" style="21" customWidth="1"/>
    <col min="3330" max="3330" width="60.21875" style="21" customWidth="1"/>
    <col min="3331" max="3331" width="22.88671875" style="21" customWidth="1"/>
    <col min="3332" max="3332" width="21.77734375" style="21" customWidth="1"/>
    <col min="3333" max="3334" width="25.109375" style="21" customWidth="1"/>
    <col min="3335" max="3584" width="8.88671875" style="21"/>
    <col min="3585" max="3585" width="12.109375" style="21" customWidth="1"/>
    <col min="3586" max="3586" width="60.21875" style="21" customWidth="1"/>
    <col min="3587" max="3587" width="22.88671875" style="21" customWidth="1"/>
    <col min="3588" max="3588" width="21.77734375" style="21" customWidth="1"/>
    <col min="3589" max="3590" width="25.109375" style="21" customWidth="1"/>
    <col min="3591" max="3840" width="8.88671875" style="21"/>
    <col min="3841" max="3841" width="12.109375" style="21" customWidth="1"/>
    <col min="3842" max="3842" width="60.21875" style="21" customWidth="1"/>
    <col min="3843" max="3843" width="22.88671875" style="21" customWidth="1"/>
    <col min="3844" max="3844" width="21.77734375" style="21" customWidth="1"/>
    <col min="3845" max="3846" width="25.109375" style="21" customWidth="1"/>
    <col min="3847" max="4096" width="8.88671875" style="21"/>
    <col min="4097" max="4097" width="12.109375" style="21" customWidth="1"/>
    <col min="4098" max="4098" width="60.21875" style="21" customWidth="1"/>
    <col min="4099" max="4099" width="22.88671875" style="21" customWidth="1"/>
    <col min="4100" max="4100" width="21.77734375" style="21" customWidth="1"/>
    <col min="4101" max="4102" width="25.109375" style="21" customWidth="1"/>
    <col min="4103" max="4352" width="8.88671875" style="21"/>
    <col min="4353" max="4353" width="12.109375" style="21" customWidth="1"/>
    <col min="4354" max="4354" width="60.21875" style="21" customWidth="1"/>
    <col min="4355" max="4355" width="22.88671875" style="21" customWidth="1"/>
    <col min="4356" max="4356" width="21.77734375" style="21" customWidth="1"/>
    <col min="4357" max="4358" width="25.109375" style="21" customWidth="1"/>
    <col min="4359" max="4608" width="8.88671875" style="21"/>
    <col min="4609" max="4609" width="12.109375" style="21" customWidth="1"/>
    <col min="4610" max="4610" width="60.21875" style="21" customWidth="1"/>
    <col min="4611" max="4611" width="22.88671875" style="21" customWidth="1"/>
    <col min="4612" max="4612" width="21.77734375" style="21" customWidth="1"/>
    <col min="4613" max="4614" width="25.109375" style="21" customWidth="1"/>
    <col min="4615" max="4864" width="8.88671875" style="21"/>
    <col min="4865" max="4865" width="12.109375" style="21" customWidth="1"/>
    <col min="4866" max="4866" width="60.21875" style="21" customWidth="1"/>
    <col min="4867" max="4867" width="22.88671875" style="21" customWidth="1"/>
    <col min="4868" max="4868" width="21.77734375" style="21" customWidth="1"/>
    <col min="4869" max="4870" width="25.109375" style="21" customWidth="1"/>
    <col min="4871" max="5120" width="8.88671875" style="21"/>
    <col min="5121" max="5121" width="12.109375" style="21" customWidth="1"/>
    <col min="5122" max="5122" width="60.21875" style="21" customWidth="1"/>
    <col min="5123" max="5123" width="22.88671875" style="21" customWidth="1"/>
    <col min="5124" max="5124" width="21.77734375" style="21" customWidth="1"/>
    <col min="5125" max="5126" width="25.109375" style="21" customWidth="1"/>
    <col min="5127" max="5376" width="8.88671875" style="21"/>
    <col min="5377" max="5377" width="12.109375" style="21" customWidth="1"/>
    <col min="5378" max="5378" width="60.21875" style="21" customWidth="1"/>
    <col min="5379" max="5379" width="22.88671875" style="21" customWidth="1"/>
    <col min="5380" max="5380" width="21.77734375" style="21" customWidth="1"/>
    <col min="5381" max="5382" width="25.109375" style="21" customWidth="1"/>
    <col min="5383" max="5632" width="8.88671875" style="21"/>
    <col min="5633" max="5633" width="12.109375" style="21" customWidth="1"/>
    <col min="5634" max="5634" width="60.21875" style="21" customWidth="1"/>
    <col min="5635" max="5635" width="22.88671875" style="21" customWidth="1"/>
    <col min="5636" max="5636" width="21.77734375" style="21" customWidth="1"/>
    <col min="5637" max="5638" width="25.109375" style="21" customWidth="1"/>
    <col min="5639" max="5888" width="8.88671875" style="21"/>
    <col min="5889" max="5889" width="12.109375" style="21" customWidth="1"/>
    <col min="5890" max="5890" width="60.21875" style="21" customWidth="1"/>
    <col min="5891" max="5891" width="22.88671875" style="21" customWidth="1"/>
    <col min="5892" max="5892" width="21.77734375" style="21" customWidth="1"/>
    <col min="5893" max="5894" width="25.109375" style="21" customWidth="1"/>
    <col min="5895" max="6144" width="8.88671875" style="21"/>
    <col min="6145" max="6145" width="12.109375" style="21" customWidth="1"/>
    <col min="6146" max="6146" width="60.21875" style="21" customWidth="1"/>
    <col min="6147" max="6147" width="22.88671875" style="21" customWidth="1"/>
    <col min="6148" max="6148" width="21.77734375" style="21" customWidth="1"/>
    <col min="6149" max="6150" width="25.109375" style="21" customWidth="1"/>
    <col min="6151" max="6400" width="8.88671875" style="21"/>
    <col min="6401" max="6401" width="12.109375" style="21" customWidth="1"/>
    <col min="6402" max="6402" width="60.21875" style="21" customWidth="1"/>
    <col min="6403" max="6403" width="22.88671875" style="21" customWidth="1"/>
    <col min="6404" max="6404" width="21.77734375" style="21" customWidth="1"/>
    <col min="6405" max="6406" width="25.109375" style="21" customWidth="1"/>
    <col min="6407" max="6656" width="8.88671875" style="21"/>
    <col min="6657" max="6657" width="12.109375" style="21" customWidth="1"/>
    <col min="6658" max="6658" width="60.21875" style="21" customWidth="1"/>
    <col min="6659" max="6659" width="22.88671875" style="21" customWidth="1"/>
    <col min="6660" max="6660" width="21.77734375" style="21" customWidth="1"/>
    <col min="6661" max="6662" width="25.109375" style="21" customWidth="1"/>
    <col min="6663" max="6912" width="8.88671875" style="21"/>
    <col min="6913" max="6913" width="12.109375" style="21" customWidth="1"/>
    <col min="6914" max="6914" width="60.21875" style="21" customWidth="1"/>
    <col min="6915" max="6915" width="22.88671875" style="21" customWidth="1"/>
    <col min="6916" max="6916" width="21.77734375" style="21" customWidth="1"/>
    <col min="6917" max="6918" width="25.109375" style="21" customWidth="1"/>
    <col min="6919" max="7168" width="8.88671875" style="21"/>
    <col min="7169" max="7169" width="12.109375" style="21" customWidth="1"/>
    <col min="7170" max="7170" width="60.21875" style="21" customWidth="1"/>
    <col min="7171" max="7171" width="22.88671875" style="21" customWidth="1"/>
    <col min="7172" max="7172" width="21.77734375" style="21" customWidth="1"/>
    <col min="7173" max="7174" width="25.109375" style="21" customWidth="1"/>
    <col min="7175" max="7424" width="8.88671875" style="21"/>
    <col min="7425" max="7425" width="12.109375" style="21" customWidth="1"/>
    <col min="7426" max="7426" width="60.21875" style="21" customWidth="1"/>
    <col min="7427" max="7427" width="22.88671875" style="21" customWidth="1"/>
    <col min="7428" max="7428" width="21.77734375" style="21" customWidth="1"/>
    <col min="7429" max="7430" width="25.109375" style="21" customWidth="1"/>
    <col min="7431" max="7680" width="8.88671875" style="21"/>
    <col min="7681" max="7681" width="12.109375" style="21" customWidth="1"/>
    <col min="7682" max="7682" width="60.21875" style="21" customWidth="1"/>
    <col min="7683" max="7683" width="22.88671875" style="21" customWidth="1"/>
    <col min="7684" max="7684" width="21.77734375" style="21" customWidth="1"/>
    <col min="7685" max="7686" width="25.109375" style="21" customWidth="1"/>
    <col min="7687" max="7936" width="8.88671875" style="21"/>
    <col min="7937" max="7937" width="12.109375" style="21" customWidth="1"/>
    <col min="7938" max="7938" width="60.21875" style="21" customWidth="1"/>
    <col min="7939" max="7939" width="22.88671875" style="21" customWidth="1"/>
    <col min="7940" max="7940" width="21.77734375" style="21" customWidth="1"/>
    <col min="7941" max="7942" width="25.109375" style="21" customWidth="1"/>
    <col min="7943" max="8192" width="8.88671875" style="21"/>
    <col min="8193" max="8193" width="12.109375" style="21" customWidth="1"/>
    <col min="8194" max="8194" width="60.21875" style="21" customWidth="1"/>
    <col min="8195" max="8195" width="22.88671875" style="21" customWidth="1"/>
    <col min="8196" max="8196" width="21.77734375" style="21" customWidth="1"/>
    <col min="8197" max="8198" width="25.109375" style="21" customWidth="1"/>
    <col min="8199" max="8448" width="8.88671875" style="21"/>
    <col min="8449" max="8449" width="12.109375" style="21" customWidth="1"/>
    <col min="8450" max="8450" width="60.21875" style="21" customWidth="1"/>
    <col min="8451" max="8451" width="22.88671875" style="21" customWidth="1"/>
    <col min="8452" max="8452" width="21.77734375" style="21" customWidth="1"/>
    <col min="8453" max="8454" width="25.109375" style="21" customWidth="1"/>
    <col min="8455" max="8704" width="8.88671875" style="21"/>
    <col min="8705" max="8705" width="12.109375" style="21" customWidth="1"/>
    <col min="8706" max="8706" width="60.21875" style="21" customWidth="1"/>
    <col min="8707" max="8707" width="22.88671875" style="21" customWidth="1"/>
    <col min="8708" max="8708" width="21.77734375" style="21" customWidth="1"/>
    <col min="8709" max="8710" width="25.109375" style="21" customWidth="1"/>
    <col min="8711" max="8960" width="8.88671875" style="21"/>
    <col min="8961" max="8961" width="12.109375" style="21" customWidth="1"/>
    <col min="8962" max="8962" width="60.21875" style="21" customWidth="1"/>
    <col min="8963" max="8963" width="22.88671875" style="21" customWidth="1"/>
    <col min="8964" max="8964" width="21.77734375" style="21" customWidth="1"/>
    <col min="8965" max="8966" width="25.109375" style="21" customWidth="1"/>
    <col min="8967" max="9216" width="8.88671875" style="21"/>
    <col min="9217" max="9217" width="12.109375" style="21" customWidth="1"/>
    <col min="9218" max="9218" width="60.21875" style="21" customWidth="1"/>
    <col min="9219" max="9219" width="22.88671875" style="21" customWidth="1"/>
    <col min="9220" max="9220" width="21.77734375" style="21" customWidth="1"/>
    <col min="9221" max="9222" width="25.109375" style="21" customWidth="1"/>
    <col min="9223" max="9472" width="8.88671875" style="21"/>
    <col min="9473" max="9473" width="12.109375" style="21" customWidth="1"/>
    <col min="9474" max="9474" width="60.21875" style="21" customWidth="1"/>
    <col min="9475" max="9475" width="22.88671875" style="21" customWidth="1"/>
    <col min="9476" max="9476" width="21.77734375" style="21" customWidth="1"/>
    <col min="9477" max="9478" width="25.109375" style="21" customWidth="1"/>
    <col min="9479" max="9728" width="8.88671875" style="21"/>
    <col min="9729" max="9729" width="12.109375" style="21" customWidth="1"/>
    <col min="9730" max="9730" width="60.21875" style="21" customWidth="1"/>
    <col min="9731" max="9731" width="22.88671875" style="21" customWidth="1"/>
    <col min="9732" max="9732" width="21.77734375" style="21" customWidth="1"/>
    <col min="9733" max="9734" width="25.109375" style="21" customWidth="1"/>
    <col min="9735" max="9984" width="8.88671875" style="21"/>
    <col min="9985" max="9985" width="12.109375" style="21" customWidth="1"/>
    <col min="9986" max="9986" width="60.21875" style="21" customWidth="1"/>
    <col min="9987" max="9987" width="22.88671875" style="21" customWidth="1"/>
    <col min="9988" max="9988" width="21.77734375" style="21" customWidth="1"/>
    <col min="9989" max="9990" width="25.109375" style="21" customWidth="1"/>
    <col min="9991" max="10240" width="8.88671875" style="21"/>
    <col min="10241" max="10241" width="12.109375" style="21" customWidth="1"/>
    <col min="10242" max="10242" width="60.21875" style="21" customWidth="1"/>
    <col min="10243" max="10243" width="22.88671875" style="21" customWidth="1"/>
    <col min="10244" max="10244" width="21.77734375" style="21" customWidth="1"/>
    <col min="10245" max="10246" width="25.109375" style="21" customWidth="1"/>
    <col min="10247" max="10496" width="8.88671875" style="21"/>
    <col min="10497" max="10497" width="12.109375" style="21" customWidth="1"/>
    <col min="10498" max="10498" width="60.21875" style="21" customWidth="1"/>
    <col min="10499" max="10499" width="22.88671875" style="21" customWidth="1"/>
    <col min="10500" max="10500" width="21.77734375" style="21" customWidth="1"/>
    <col min="10501" max="10502" width="25.109375" style="21" customWidth="1"/>
    <col min="10503" max="10752" width="8.88671875" style="21"/>
    <col min="10753" max="10753" width="12.109375" style="21" customWidth="1"/>
    <col min="10754" max="10754" width="60.21875" style="21" customWidth="1"/>
    <col min="10755" max="10755" width="22.88671875" style="21" customWidth="1"/>
    <col min="10756" max="10756" width="21.77734375" style="21" customWidth="1"/>
    <col min="10757" max="10758" width="25.109375" style="21" customWidth="1"/>
    <col min="10759" max="11008" width="8.88671875" style="21"/>
    <col min="11009" max="11009" width="12.109375" style="21" customWidth="1"/>
    <col min="11010" max="11010" width="60.21875" style="21" customWidth="1"/>
    <col min="11011" max="11011" width="22.88671875" style="21" customWidth="1"/>
    <col min="11012" max="11012" width="21.77734375" style="21" customWidth="1"/>
    <col min="11013" max="11014" width="25.109375" style="21" customWidth="1"/>
    <col min="11015" max="11264" width="8.88671875" style="21"/>
    <col min="11265" max="11265" width="12.109375" style="21" customWidth="1"/>
    <col min="11266" max="11266" width="60.21875" style="21" customWidth="1"/>
    <col min="11267" max="11267" width="22.88671875" style="21" customWidth="1"/>
    <col min="11268" max="11268" width="21.77734375" style="21" customWidth="1"/>
    <col min="11269" max="11270" width="25.109375" style="21" customWidth="1"/>
    <col min="11271" max="11520" width="8.88671875" style="21"/>
    <col min="11521" max="11521" width="12.109375" style="21" customWidth="1"/>
    <col min="11522" max="11522" width="60.21875" style="21" customWidth="1"/>
    <col min="11523" max="11523" width="22.88671875" style="21" customWidth="1"/>
    <col min="11524" max="11524" width="21.77734375" style="21" customWidth="1"/>
    <col min="11525" max="11526" width="25.109375" style="21" customWidth="1"/>
    <col min="11527" max="11776" width="8.88671875" style="21"/>
    <col min="11777" max="11777" width="12.109375" style="21" customWidth="1"/>
    <col min="11778" max="11778" width="60.21875" style="21" customWidth="1"/>
    <col min="11779" max="11779" width="22.88671875" style="21" customWidth="1"/>
    <col min="11780" max="11780" width="21.77734375" style="21" customWidth="1"/>
    <col min="11781" max="11782" width="25.109375" style="21" customWidth="1"/>
    <col min="11783" max="12032" width="8.88671875" style="21"/>
    <col min="12033" max="12033" width="12.109375" style="21" customWidth="1"/>
    <col min="12034" max="12034" width="60.21875" style="21" customWidth="1"/>
    <col min="12035" max="12035" width="22.88671875" style="21" customWidth="1"/>
    <col min="12036" max="12036" width="21.77734375" style="21" customWidth="1"/>
    <col min="12037" max="12038" width="25.109375" style="21" customWidth="1"/>
    <col min="12039" max="12288" width="8.88671875" style="21"/>
    <col min="12289" max="12289" width="12.109375" style="21" customWidth="1"/>
    <col min="12290" max="12290" width="60.21875" style="21" customWidth="1"/>
    <col min="12291" max="12291" width="22.88671875" style="21" customWidth="1"/>
    <col min="12292" max="12292" width="21.77734375" style="21" customWidth="1"/>
    <col min="12293" max="12294" width="25.109375" style="21" customWidth="1"/>
    <col min="12295" max="12544" width="8.88671875" style="21"/>
    <col min="12545" max="12545" width="12.109375" style="21" customWidth="1"/>
    <col min="12546" max="12546" width="60.21875" style="21" customWidth="1"/>
    <col min="12547" max="12547" width="22.88671875" style="21" customWidth="1"/>
    <col min="12548" max="12548" width="21.77734375" style="21" customWidth="1"/>
    <col min="12549" max="12550" width="25.109375" style="21" customWidth="1"/>
    <col min="12551" max="12800" width="8.88671875" style="21"/>
    <col min="12801" max="12801" width="12.109375" style="21" customWidth="1"/>
    <col min="12802" max="12802" width="60.21875" style="21" customWidth="1"/>
    <col min="12803" max="12803" width="22.88671875" style="21" customWidth="1"/>
    <col min="12804" max="12804" width="21.77734375" style="21" customWidth="1"/>
    <col min="12805" max="12806" width="25.109375" style="21" customWidth="1"/>
    <col min="12807" max="13056" width="8.88671875" style="21"/>
    <col min="13057" max="13057" width="12.109375" style="21" customWidth="1"/>
    <col min="13058" max="13058" width="60.21875" style="21" customWidth="1"/>
    <col min="13059" max="13059" width="22.88671875" style="21" customWidth="1"/>
    <col min="13060" max="13060" width="21.77734375" style="21" customWidth="1"/>
    <col min="13061" max="13062" width="25.109375" style="21" customWidth="1"/>
    <col min="13063" max="13312" width="8.88671875" style="21"/>
    <col min="13313" max="13313" width="12.109375" style="21" customWidth="1"/>
    <col min="13314" max="13314" width="60.21875" style="21" customWidth="1"/>
    <col min="13315" max="13315" width="22.88671875" style="21" customWidth="1"/>
    <col min="13316" max="13316" width="21.77734375" style="21" customWidth="1"/>
    <col min="13317" max="13318" width="25.109375" style="21" customWidth="1"/>
    <col min="13319" max="13568" width="8.88671875" style="21"/>
    <col min="13569" max="13569" width="12.109375" style="21" customWidth="1"/>
    <col min="13570" max="13570" width="60.21875" style="21" customWidth="1"/>
    <col min="13571" max="13571" width="22.88671875" style="21" customWidth="1"/>
    <col min="13572" max="13572" width="21.77734375" style="21" customWidth="1"/>
    <col min="13573" max="13574" width="25.109375" style="21" customWidth="1"/>
    <col min="13575" max="13824" width="8.88671875" style="21"/>
    <col min="13825" max="13825" width="12.109375" style="21" customWidth="1"/>
    <col min="13826" max="13826" width="60.21875" style="21" customWidth="1"/>
    <col min="13827" max="13827" width="22.88671875" style="21" customWidth="1"/>
    <col min="13828" max="13828" width="21.77734375" style="21" customWidth="1"/>
    <col min="13829" max="13830" width="25.109375" style="21" customWidth="1"/>
    <col min="13831" max="14080" width="8.88671875" style="21"/>
    <col min="14081" max="14081" width="12.109375" style="21" customWidth="1"/>
    <col min="14082" max="14082" width="60.21875" style="21" customWidth="1"/>
    <col min="14083" max="14083" width="22.88671875" style="21" customWidth="1"/>
    <col min="14084" max="14084" width="21.77734375" style="21" customWidth="1"/>
    <col min="14085" max="14086" width="25.109375" style="21" customWidth="1"/>
    <col min="14087" max="14336" width="8.88671875" style="21"/>
    <col min="14337" max="14337" width="12.109375" style="21" customWidth="1"/>
    <col min="14338" max="14338" width="60.21875" style="21" customWidth="1"/>
    <col min="14339" max="14339" width="22.88671875" style="21" customWidth="1"/>
    <col min="14340" max="14340" width="21.77734375" style="21" customWidth="1"/>
    <col min="14341" max="14342" width="25.109375" style="21" customWidth="1"/>
    <col min="14343" max="14592" width="8.88671875" style="21"/>
    <col min="14593" max="14593" width="12.109375" style="21" customWidth="1"/>
    <col min="14594" max="14594" width="60.21875" style="21" customWidth="1"/>
    <col min="14595" max="14595" width="22.88671875" style="21" customWidth="1"/>
    <col min="14596" max="14596" width="21.77734375" style="21" customWidth="1"/>
    <col min="14597" max="14598" width="25.109375" style="21" customWidth="1"/>
    <col min="14599" max="14848" width="8.88671875" style="21"/>
    <col min="14849" max="14849" width="12.109375" style="21" customWidth="1"/>
    <col min="14850" max="14850" width="60.21875" style="21" customWidth="1"/>
    <col min="14851" max="14851" width="22.88671875" style="21" customWidth="1"/>
    <col min="14852" max="14852" width="21.77734375" style="21" customWidth="1"/>
    <col min="14853" max="14854" width="25.109375" style="21" customWidth="1"/>
    <col min="14855" max="15104" width="8.88671875" style="21"/>
    <col min="15105" max="15105" width="12.109375" style="21" customWidth="1"/>
    <col min="15106" max="15106" width="60.21875" style="21" customWidth="1"/>
    <col min="15107" max="15107" width="22.88671875" style="21" customWidth="1"/>
    <col min="15108" max="15108" width="21.77734375" style="21" customWidth="1"/>
    <col min="15109" max="15110" width="25.109375" style="21" customWidth="1"/>
    <col min="15111" max="15360" width="8.88671875" style="21"/>
    <col min="15361" max="15361" width="12.109375" style="21" customWidth="1"/>
    <col min="15362" max="15362" width="60.21875" style="21" customWidth="1"/>
    <col min="15363" max="15363" width="22.88671875" style="21" customWidth="1"/>
    <col min="15364" max="15364" width="21.77734375" style="21" customWidth="1"/>
    <col min="15365" max="15366" width="25.109375" style="21" customWidth="1"/>
    <col min="15367" max="15616" width="8.88671875" style="21"/>
    <col min="15617" max="15617" width="12.109375" style="21" customWidth="1"/>
    <col min="15618" max="15618" width="60.21875" style="21" customWidth="1"/>
    <col min="15619" max="15619" width="22.88671875" style="21" customWidth="1"/>
    <col min="15620" max="15620" width="21.77734375" style="21" customWidth="1"/>
    <col min="15621" max="15622" width="25.109375" style="21" customWidth="1"/>
    <col min="15623" max="15872" width="8.88671875" style="21"/>
    <col min="15873" max="15873" width="12.109375" style="21" customWidth="1"/>
    <col min="15874" max="15874" width="60.21875" style="21" customWidth="1"/>
    <col min="15875" max="15875" width="22.88671875" style="21" customWidth="1"/>
    <col min="15876" max="15876" width="21.77734375" style="21" customWidth="1"/>
    <col min="15877" max="15878" width="25.109375" style="21" customWidth="1"/>
    <col min="15879" max="16128" width="8.88671875" style="21"/>
    <col min="16129" max="16129" width="12.109375" style="21" customWidth="1"/>
    <col min="16130" max="16130" width="60.21875" style="21" customWidth="1"/>
    <col min="16131" max="16131" width="22.88671875" style="21" customWidth="1"/>
    <col min="16132" max="16132" width="21.77734375" style="21" customWidth="1"/>
    <col min="16133" max="16134" width="25.109375" style="21" customWidth="1"/>
    <col min="16135" max="16384" width="8.88671875" style="21"/>
  </cols>
  <sheetData>
    <row r="1" spans="1:12" ht="16.2" thickBot="1" x14ac:dyDescent="0.35">
      <c r="A1" s="563" t="s">
        <v>263</v>
      </c>
      <c r="B1" s="564"/>
      <c r="C1" s="564"/>
      <c r="D1" s="564"/>
      <c r="E1" s="564"/>
      <c r="F1" s="564"/>
      <c r="G1" s="564"/>
      <c r="H1" s="564"/>
      <c r="I1" s="564"/>
      <c r="J1" s="564"/>
      <c r="K1" s="564"/>
      <c r="L1" s="565"/>
    </row>
    <row r="2" spans="1:12" ht="8.1" customHeight="1" x14ac:dyDescent="0.25">
      <c r="A2" s="566" t="s">
        <v>264</v>
      </c>
      <c r="B2" s="567"/>
      <c r="C2" s="567"/>
      <c r="D2" s="567"/>
      <c r="E2" s="567"/>
      <c r="F2" s="567"/>
      <c r="G2" s="567"/>
      <c r="H2" s="567"/>
      <c r="I2" s="567"/>
      <c r="J2" s="567"/>
      <c r="K2" s="567"/>
      <c r="L2" s="568"/>
    </row>
    <row r="3" spans="1:12" ht="15" customHeight="1" thickBot="1" x14ac:dyDescent="0.3">
      <c r="A3" s="569"/>
      <c r="B3" s="570"/>
      <c r="C3" s="570"/>
      <c r="D3" s="570"/>
      <c r="E3" s="570"/>
      <c r="F3" s="570"/>
      <c r="G3" s="570"/>
      <c r="H3" s="570"/>
      <c r="I3" s="570"/>
      <c r="J3" s="570"/>
      <c r="K3" s="570"/>
      <c r="L3" s="571"/>
    </row>
    <row r="4" spans="1:12" ht="25.5" customHeight="1" thickBot="1" x14ac:dyDescent="0.3">
      <c r="A4" s="575" t="s">
        <v>28</v>
      </c>
      <c r="B4" s="573"/>
      <c r="C4" s="574"/>
      <c r="D4" s="576" t="s">
        <v>265</v>
      </c>
      <c r="E4" s="577"/>
      <c r="F4" s="572">
        <f>D44</f>
        <v>487256.7961226803</v>
      </c>
      <c r="G4" s="573"/>
      <c r="H4" s="574"/>
      <c r="I4" s="576" t="s">
        <v>684</v>
      </c>
      <c r="J4" s="577"/>
      <c r="K4" s="577"/>
      <c r="L4" s="578"/>
    </row>
    <row r="5" spans="1:12" ht="24" customHeight="1" thickBot="1" x14ac:dyDescent="0.3">
      <c r="A5" s="585" t="s">
        <v>30</v>
      </c>
      <c r="B5" s="586"/>
      <c r="C5" s="587"/>
      <c r="D5" s="582" t="s">
        <v>685</v>
      </c>
      <c r="E5" s="583"/>
      <c r="F5" s="583"/>
      <c r="G5" s="583"/>
      <c r="H5" s="584"/>
      <c r="I5" s="579" t="s">
        <v>274</v>
      </c>
      <c r="J5" s="580"/>
      <c r="K5" s="580"/>
      <c r="L5" s="581"/>
    </row>
    <row r="6" spans="1:12" x14ac:dyDescent="0.25">
      <c r="A6" s="61" t="s">
        <v>5</v>
      </c>
      <c r="B6" s="62" t="s">
        <v>266</v>
      </c>
      <c r="C6" s="63" t="s">
        <v>267</v>
      </c>
      <c r="D6" s="63" t="s">
        <v>268</v>
      </c>
      <c r="E6" s="64" t="s">
        <v>269</v>
      </c>
      <c r="F6" s="64" t="s">
        <v>270</v>
      </c>
      <c r="G6" s="64" t="s">
        <v>275</v>
      </c>
      <c r="H6" s="64" t="s">
        <v>276</v>
      </c>
      <c r="I6" s="64" t="s">
        <v>277</v>
      </c>
      <c r="J6" s="64" t="s">
        <v>278</v>
      </c>
      <c r="K6" s="64" t="s">
        <v>279</v>
      </c>
      <c r="L6" s="65" t="s">
        <v>280</v>
      </c>
    </row>
    <row r="7" spans="1:12" x14ac:dyDescent="0.25">
      <c r="A7" s="554">
        <v>1</v>
      </c>
      <c r="B7" s="552" t="str">
        <f>'Planilha Orcamentaria'!C14</f>
        <v>INSTALAÇÕES INICIAIS DA OBRA</v>
      </c>
      <c r="C7" s="23" t="s">
        <v>271</v>
      </c>
      <c r="D7" s="54">
        <f>D8/$D$44</f>
        <v>6.4157129331304782E-2</v>
      </c>
      <c r="E7" s="58">
        <v>1</v>
      </c>
      <c r="F7" s="58"/>
      <c r="G7" s="58"/>
      <c r="H7" s="58"/>
      <c r="I7" s="58"/>
      <c r="J7" s="58"/>
      <c r="K7" s="58"/>
      <c r="L7" s="66"/>
    </row>
    <row r="8" spans="1:12" x14ac:dyDescent="0.25">
      <c r="A8" s="555"/>
      <c r="B8" s="553"/>
      <c r="C8" s="24" t="s">
        <v>272</v>
      </c>
      <c r="D8" s="55">
        <f>'Planilha Orcamentaria'!H14</f>
        <v>31260.997286400005</v>
      </c>
      <c r="E8" s="59">
        <f>E7*D8</f>
        <v>31260.997286400005</v>
      </c>
      <c r="F8" s="59"/>
      <c r="G8" s="59"/>
      <c r="H8" s="59"/>
      <c r="I8" s="59"/>
      <c r="J8" s="59"/>
      <c r="K8" s="59"/>
      <c r="L8" s="67"/>
    </row>
    <row r="9" spans="1:12" x14ac:dyDescent="0.25">
      <c r="A9" s="554">
        <v>2</v>
      </c>
      <c r="B9" s="552" t="str">
        <f>'Planilha Orcamentaria'!C22</f>
        <v>TERRAPLENAGEM/TRABALHOS EM TERRA</v>
      </c>
      <c r="C9" s="23" t="s">
        <v>271</v>
      </c>
      <c r="D9" s="54">
        <f>D10/$D$44</f>
        <v>1.3880130409556733E-2</v>
      </c>
      <c r="E9" s="58">
        <v>1</v>
      </c>
      <c r="F9" s="58"/>
      <c r="G9" s="58"/>
      <c r="H9" s="58"/>
      <c r="I9" s="58"/>
      <c r="J9" s="58"/>
      <c r="K9" s="58"/>
      <c r="L9" s="66"/>
    </row>
    <row r="10" spans="1:12" x14ac:dyDescent="0.25">
      <c r="A10" s="555"/>
      <c r="B10" s="553"/>
      <c r="C10" s="24" t="s">
        <v>272</v>
      </c>
      <c r="D10" s="56">
        <f>'Planilha Orcamentaria'!H22</f>
        <v>6763.1878731256002</v>
      </c>
      <c r="E10" s="59">
        <f>E9*D10</f>
        <v>6763.1878731256002</v>
      </c>
      <c r="F10" s="59"/>
      <c r="G10" s="59"/>
      <c r="H10" s="59"/>
      <c r="I10" s="59"/>
      <c r="J10" s="59"/>
      <c r="K10" s="59"/>
      <c r="L10" s="67"/>
    </row>
    <row r="11" spans="1:12" ht="13.8" customHeight="1" x14ac:dyDescent="0.25">
      <c r="A11" s="554">
        <v>3</v>
      </c>
      <c r="B11" s="552" t="str">
        <f>'Planilha Orcamentaria'!C26</f>
        <v>FUNDAÇÕES</v>
      </c>
      <c r="C11" s="23" t="s">
        <v>271</v>
      </c>
      <c r="D11" s="54">
        <f>D12/$D$44</f>
        <v>6.4139164381809874E-2</v>
      </c>
      <c r="E11" s="58">
        <v>1</v>
      </c>
      <c r="F11" s="58"/>
      <c r="G11" s="58"/>
      <c r="H11" s="58"/>
      <c r="I11" s="58"/>
      <c r="J11" s="58"/>
      <c r="K11" s="58"/>
      <c r="L11" s="66"/>
    </row>
    <row r="12" spans="1:12" x14ac:dyDescent="0.25">
      <c r="A12" s="555"/>
      <c r="B12" s="553"/>
      <c r="C12" s="24" t="s">
        <v>272</v>
      </c>
      <c r="D12" s="56">
        <f>'Planilha Orcamentaria'!H26</f>
        <v>31252.243742666615</v>
      </c>
      <c r="E12" s="59">
        <f>E11*D12</f>
        <v>31252.243742666615</v>
      </c>
      <c r="F12" s="59"/>
      <c r="G12" s="59"/>
      <c r="H12" s="59"/>
      <c r="I12" s="59"/>
      <c r="J12" s="59"/>
      <c r="K12" s="59"/>
      <c r="L12" s="67"/>
    </row>
    <row r="13" spans="1:12" ht="13.8" customHeight="1" x14ac:dyDescent="0.25">
      <c r="A13" s="554">
        <v>4</v>
      </c>
      <c r="B13" s="552" t="str">
        <f>'Planilha Orcamentaria'!C31</f>
        <v>SUPERESTRUTURA</v>
      </c>
      <c r="C13" s="23" t="s">
        <v>271</v>
      </c>
      <c r="D13" s="54">
        <f>D14/$D$44</f>
        <v>0.16260509458568859</v>
      </c>
      <c r="E13" s="58"/>
      <c r="F13" s="58">
        <v>0.3</v>
      </c>
      <c r="G13" s="58">
        <v>0.4</v>
      </c>
      <c r="H13" s="58">
        <v>0.3</v>
      </c>
      <c r="I13" s="58"/>
      <c r="J13" s="58"/>
      <c r="K13" s="58"/>
      <c r="L13" s="66"/>
    </row>
    <row r="14" spans="1:12" x14ac:dyDescent="0.25">
      <c r="A14" s="555"/>
      <c r="B14" s="553"/>
      <c r="C14" s="24" t="s">
        <v>272</v>
      </c>
      <c r="D14" s="56">
        <f>'Planilha Orcamentaria'!H31</f>
        <v>79230.437421048016</v>
      </c>
      <c r="E14" s="59"/>
      <c r="F14" s="59">
        <f>F13*D14</f>
        <v>23769.131226314403</v>
      </c>
      <c r="G14" s="59">
        <f>G13*D14</f>
        <v>31692.174968419207</v>
      </c>
      <c r="H14" s="59">
        <f>H13*D14</f>
        <v>23769.131226314403</v>
      </c>
      <c r="I14" s="59"/>
      <c r="J14" s="59"/>
      <c r="K14" s="59"/>
      <c r="L14" s="67"/>
    </row>
    <row r="15" spans="1:12" ht="13.8" customHeight="1" x14ac:dyDescent="0.25">
      <c r="A15" s="554">
        <v>5</v>
      </c>
      <c r="B15" s="552" t="str">
        <f>'Planilha Orcamentaria'!C36</f>
        <v>ALVENARIAS E DIVISÕES</v>
      </c>
      <c r="C15" s="23" t="s">
        <v>271</v>
      </c>
      <c r="D15" s="54">
        <f>D16/$D$44</f>
        <v>0.10792684320198072</v>
      </c>
      <c r="E15" s="58"/>
      <c r="F15" s="58">
        <v>0.3</v>
      </c>
      <c r="G15" s="58">
        <v>0.2</v>
      </c>
      <c r="H15" s="58">
        <v>0.5</v>
      </c>
      <c r="I15" s="58"/>
      <c r="J15" s="58"/>
      <c r="K15" s="58"/>
      <c r="L15" s="66"/>
    </row>
    <row r="16" spans="1:12" x14ac:dyDescent="0.25">
      <c r="A16" s="555"/>
      <c r="B16" s="553"/>
      <c r="C16" s="24" t="s">
        <v>272</v>
      </c>
      <c r="D16" s="56">
        <f>'Planilha Orcamentaria'!H36</f>
        <v>52588.087834232007</v>
      </c>
      <c r="E16" s="59"/>
      <c r="F16" s="59">
        <f>F15*D16</f>
        <v>15776.426350269601</v>
      </c>
      <c r="G16" s="59">
        <f>G15*D16</f>
        <v>10517.617566846402</v>
      </c>
      <c r="H16" s="59">
        <f>H15*D16</f>
        <v>26294.043917116003</v>
      </c>
      <c r="I16" s="59"/>
      <c r="J16" s="59"/>
      <c r="K16" s="59"/>
      <c r="L16" s="67"/>
    </row>
    <row r="17" spans="1:12" ht="13.8" customHeight="1" x14ac:dyDescent="0.25">
      <c r="A17" s="554">
        <v>6</v>
      </c>
      <c r="B17" s="552" t="str">
        <f>'Planilha Orcamentaria'!C43</f>
        <v>COBERTURA E DRENAGEM PLUVIAL</v>
      </c>
      <c r="C17" s="23" t="s">
        <v>271</v>
      </c>
      <c r="D17" s="54">
        <f>D18/$D$44</f>
        <v>6.2438757774904381E-2</v>
      </c>
      <c r="E17" s="58"/>
      <c r="F17" s="58"/>
      <c r="G17" s="58"/>
      <c r="H17" s="58">
        <v>0.1</v>
      </c>
      <c r="I17" s="58">
        <v>0.9</v>
      </c>
      <c r="J17" s="58"/>
      <c r="K17" s="58"/>
      <c r="L17" s="66"/>
    </row>
    <row r="18" spans="1:12" x14ac:dyDescent="0.25">
      <c r="A18" s="555"/>
      <c r="B18" s="553"/>
      <c r="C18" s="24" t="s">
        <v>272</v>
      </c>
      <c r="D18" s="56">
        <f>'Planilha Orcamentaria'!H43</f>
        <v>30423.709067280004</v>
      </c>
      <c r="E18" s="59"/>
      <c r="F18" s="59"/>
      <c r="G18" s="59"/>
      <c r="H18" s="59">
        <f>H17*D18</f>
        <v>3042.3709067280006</v>
      </c>
      <c r="I18" s="59">
        <f>I17*D18</f>
        <v>27381.338160552004</v>
      </c>
      <c r="J18" s="59"/>
      <c r="K18" s="59"/>
      <c r="L18" s="67"/>
    </row>
    <row r="19" spans="1:12" ht="13.8" customHeight="1" x14ac:dyDescent="0.25">
      <c r="A19" s="554">
        <v>7</v>
      </c>
      <c r="B19" s="552" t="str">
        <f>'Planilha Orcamentaria'!C53</f>
        <v>INSTALAÇÕES HIDROSSANITÁRIAS</v>
      </c>
      <c r="C19" s="23" t="s">
        <v>271</v>
      </c>
      <c r="D19" s="54">
        <f>D20/$D$44</f>
        <v>7.262327399101183E-2</v>
      </c>
      <c r="E19" s="58"/>
      <c r="F19" s="58"/>
      <c r="G19" s="58">
        <v>0.2</v>
      </c>
      <c r="H19" s="58"/>
      <c r="I19" s="58"/>
      <c r="J19" s="58"/>
      <c r="K19" s="58">
        <v>0.4</v>
      </c>
      <c r="L19" s="66">
        <v>0.4</v>
      </c>
    </row>
    <row r="20" spans="1:12" x14ac:dyDescent="0.25">
      <c r="A20" s="555"/>
      <c r="B20" s="553"/>
      <c r="C20" s="24" t="s">
        <v>272</v>
      </c>
      <c r="D20" s="56">
        <f>'Planilha Orcamentaria'!H53</f>
        <v>35386.1838088</v>
      </c>
      <c r="E20" s="59"/>
      <c r="F20" s="59"/>
      <c r="G20" s="59">
        <f>G19*D20</f>
        <v>7077.2367617600003</v>
      </c>
      <c r="H20" s="59"/>
      <c r="I20" s="59"/>
      <c r="J20" s="59"/>
      <c r="K20" s="59">
        <f>K19*D20</f>
        <v>14154.473523520001</v>
      </c>
      <c r="L20" s="67">
        <f>L19*D20</f>
        <v>14154.473523520001</v>
      </c>
    </row>
    <row r="21" spans="1:12" ht="13.8" customHeight="1" x14ac:dyDescent="0.25">
      <c r="A21" s="554">
        <v>8</v>
      </c>
      <c r="B21" s="552" t="str">
        <f>'Planilha Orcamentaria'!C81</f>
        <v>INSTALAÇÃO ELÉTRICA</v>
      </c>
      <c r="C21" s="23" t="s">
        <v>271</v>
      </c>
      <c r="D21" s="54">
        <f>D22/$D$44</f>
        <v>6.108155197610933E-2</v>
      </c>
      <c r="E21" s="58"/>
      <c r="F21" s="58"/>
      <c r="G21" s="58">
        <v>0.2</v>
      </c>
      <c r="H21" s="58"/>
      <c r="I21" s="58"/>
      <c r="J21" s="58"/>
      <c r="K21" s="58">
        <v>0.4</v>
      </c>
      <c r="L21" s="66">
        <v>0.4</v>
      </c>
    </row>
    <row r="22" spans="1:12" x14ac:dyDescent="0.25">
      <c r="A22" s="555"/>
      <c r="B22" s="553"/>
      <c r="C22" s="24" t="s">
        <v>272</v>
      </c>
      <c r="D22" s="56">
        <f>'Planilha Orcamentaria'!H81</f>
        <v>29762.401318080003</v>
      </c>
      <c r="E22" s="59"/>
      <c r="F22" s="59"/>
      <c r="G22" s="59">
        <f>G21*D22</f>
        <v>5952.4802636160011</v>
      </c>
      <c r="H22" s="59"/>
      <c r="I22" s="59"/>
      <c r="J22" s="59"/>
      <c r="K22" s="59">
        <f>K21*D22</f>
        <v>11904.960527232002</v>
      </c>
      <c r="L22" s="67">
        <f>L21*D22</f>
        <v>11904.960527232002</v>
      </c>
    </row>
    <row r="23" spans="1:12" ht="13.8" customHeight="1" x14ac:dyDescent="0.25">
      <c r="A23" s="554">
        <v>9</v>
      </c>
      <c r="B23" s="552" t="str">
        <f>'Planilha Orcamentaria'!C114</f>
        <v>ESQUADRIA DE MADEIRA</v>
      </c>
      <c r="C23" s="23" t="s">
        <v>271</v>
      </c>
      <c r="D23" s="54">
        <f>D24/$D$44</f>
        <v>5.08091433449534E-3</v>
      </c>
      <c r="E23" s="58"/>
      <c r="F23" s="58"/>
      <c r="G23" s="58"/>
      <c r="H23" s="58"/>
      <c r="I23" s="58"/>
      <c r="J23" s="58"/>
      <c r="K23" s="58"/>
      <c r="L23" s="66">
        <v>1</v>
      </c>
    </row>
    <row r="24" spans="1:12" x14ac:dyDescent="0.25">
      <c r="A24" s="555"/>
      <c r="B24" s="553"/>
      <c r="C24" s="24" t="s">
        <v>272</v>
      </c>
      <c r="D24" s="56">
        <f>'Planilha Orcamentaria'!H114</f>
        <v>2475.7100399999999</v>
      </c>
      <c r="E24" s="59"/>
      <c r="F24" s="59"/>
      <c r="G24" s="59"/>
      <c r="H24" s="59"/>
      <c r="I24" s="59"/>
      <c r="J24" s="59"/>
      <c r="K24" s="59"/>
      <c r="L24" s="67">
        <f>L23*D24</f>
        <v>2475.7100399999999</v>
      </c>
    </row>
    <row r="25" spans="1:12" ht="13.8" customHeight="1" x14ac:dyDescent="0.25">
      <c r="A25" s="554">
        <v>10</v>
      </c>
      <c r="B25" s="552" t="str">
        <f>'Planilha Orcamentaria'!C116</f>
        <v>SERRALHERIA</v>
      </c>
      <c r="C25" s="23" t="s">
        <v>271</v>
      </c>
      <c r="D25" s="54">
        <f>D26/$D$44</f>
        <v>8.2629762751891822E-2</v>
      </c>
      <c r="E25" s="58"/>
      <c r="F25" s="58"/>
      <c r="G25" s="58"/>
      <c r="H25" s="58"/>
      <c r="I25" s="58"/>
      <c r="J25" s="58"/>
      <c r="K25" s="58">
        <v>0.2</v>
      </c>
      <c r="L25" s="66">
        <v>0.8</v>
      </c>
    </row>
    <row r="26" spans="1:12" x14ac:dyDescent="0.25">
      <c r="A26" s="555"/>
      <c r="B26" s="553"/>
      <c r="C26" s="24" t="s">
        <v>272</v>
      </c>
      <c r="D26" s="56">
        <f>'Planilha Orcamentaria'!H116</f>
        <v>40261.913462863995</v>
      </c>
      <c r="E26" s="59"/>
      <c r="F26" s="59"/>
      <c r="G26" s="59"/>
      <c r="H26" s="196"/>
      <c r="I26" s="59"/>
      <c r="J26" s="59"/>
      <c r="K26" s="59">
        <f>K25*D26</f>
        <v>8052.382692572799</v>
      </c>
      <c r="L26" s="67">
        <f>L25*D26</f>
        <v>32209.530770291196</v>
      </c>
    </row>
    <row r="27" spans="1:12" ht="13.8" customHeight="1" x14ac:dyDescent="0.25">
      <c r="A27" s="554">
        <v>11</v>
      </c>
      <c r="B27" s="552" t="str">
        <f>'Planilha Orcamentaria'!C125</f>
        <v>REVESTIMENTO</v>
      </c>
      <c r="C27" s="23" t="s">
        <v>271</v>
      </c>
      <c r="D27" s="54">
        <f>D28/$D$44</f>
        <v>0.13330291356198626</v>
      </c>
      <c r="E27" s="58"/>
      <c r="F27" s="58"/>
      <c r="G27" s="58"/>
      <c r="H27" s="58"/>
      <c r="I27" s="58">
        <v>0.45</v>
      </c>
      <c r="J27" s="58">
        <v>0.55000000000000004</v>
      </c>
      <c r="K27" s="58"/>
      <c r="L27" s="66"/>
    </row>
    <row r="28" spans="1:12" x14ac:dyDescent="0.25">
      <c r="A28" s="555"/>
      <c r="B28" s="553"/>
      <c r="C28" s="24" t="s">
        <v>272</v>
      </c>
      <c r="D28" s="56">
        <f>'Planilha Orcamentaria'!H125</f>
        <v>64952.750576032013</v>
      </c>
      <c r="E28" s="59"/>
      <c r="F28" s="59"/>
      <c r="G28" s="59"/>
      <c r="H28" s="59"/>
      <c r="I28" s="59">
        <f>I27*D28</f>
        <v>29228.737759214408</v>
      </c>
      <c r="J28" s="59">
        <f>J27*D28</f>
        <v>35724.012816817609</v>
      </c>
      <c r="K28" s="59"/>
      <c r="L28" s="67"/>
    </row>
    <row r="29" spans="1:12" ht="13.8" customHeight="1" x14ac:dyDescent="0.25">
      <c r="A29" s="554">
        <v>12</v>
      </c>
      <c r="B29" s="552" t="str">
        <f>'Planilha Orcamentaria'!C131</f>
        <v>PISOS, SOLEIRAS E PEITORIS</v>
      </c>
      <c r="C29" s="23" t="s">
        <v>271</v>
      </c>
      <c r="D29" s="54">
        <f>D30/$D$44</f>
        <v>9.5170574900394919E-2</v>
      </c>
      <c r="E29" s="58"/>
      <c r="F29" s="58"/>
      <c r="G29" s="58"/>
      <c r="H29" s="58"/>
      <c r="I29" s="58"/>
      <c r="J29" s="58">
        <v>0.5</v>
      </c>
      <c r="K29" s="58">
        <v>0.5</v>
      </c>
      <c r="L29" s="66"/>
    </row>
    <row r="30" spans="1:12" x14ac:dyDescent="0.25">
      <c r="A30" s="555"/>
      <c r="B30" s="553"/>
      <c r="C30" s="24" t="s">
        <v>272</v>
      </c>
      <c r="D30" s="56">
        <f>'Planilha Orcamentaria'!H131</f>
        <v>46372.509411120001</v>
      </c>
      <c r="E30" s="59"/>
      <c r="F30" s="59"/>
      <c r="G30" s="59"/>
      <c r="H30" s="59"/>
      <c r="I30" s="59"/>
      <c r="J30" s="59">
        <f>J29*D30</f>
        <v>23186.254705560001</v>
      </c>
      <c r="K30" s="59">
        <f>K29*D30</f>
        <v>23186.254705560001</v>
      </c>
      <c r="L30" s="67"/>
    </row>
    <row r="31" spans="1:12" ht="13.8" customHeight="1" x14ac:dyDescent="0.25">
      <c r="A31" s="554">
        <v>13</v>
      </c>
      <c r="B31" s="552" t="str">
        <f>'Planilha Orcamentaria'!C140</f>
        <v>PINTURA</v>
      </c>
      <c r="C31" s="23" t="s">
        <v>271</v>
      </c>
      <c r="D31" s="54">
        <f>D32/$D$44</f>
        <v>4.8304717461307552E-2</v>
      </c>
      <c r="E31" s="58"/>
      <c r="F31" s="58"/>
      <c r="G31" s="58"/>
      <c r="H31" s="58"/>
      <c r="I31" s="58"/>
      <c r="J31" s="58"/>
      <c r="K31" s="58">
        <v>0.25</v>
      </c>
      <c r="L31" s="66">
        <v>0.75</v>
      </c>
    </row>
    <row r="32" spans="1:12" x14ac:dyDescent="0.25">
      <c r="A32" s="555"/>
      <c r="B32" s="553"/>
      <c r="C32" s="24" t="s">
        <v>272</v>
      </c>
      <c r="D32" s="56">
        <f>'Planilha Orcamentaria'!H140</f>
        <v>23536.801867808008</v>
      </c>
      <c r="E32" s="59"/>
      <c r="F32" s="59"/>
      <c r="G32" s="59"/>
      <c r="H32" s="59"/>
      <c r="I32" s="59"/>
      <c r="J32" s="59"/>
      <c r="K32" s="59">
        <f>K31*D32</f>
        <v>5884.200466952002</v>
      </c>
      <c r="L32" s="67">
        <f>L31*D32</f>
        <v>17652.601400856005</v>
      </c>
    </row>
    <row r="33" spans="1:13" ht="13.8" customHeight="1" x14ac:dyDescent="0.25">
      <c r="A33" s="554">
        <v>14</v>
      </c>
      <c r="B33" s="552" t="str">
        <f>'Planilha Orcamentaria'!C148</f>
        <v>ESPELHOS E ACESSÓRIOS</v>
      </c>
      <c r="C33" s="23" t="s">
        <v>271</v>
      </c>
      <c r="D33" s="54">
        <f>D34/$D$44</f>
        <v>1.132296027044207E-2</v>
      </c>
      <c r="E33" s="58"/>
      <c r="F33" s="58"/>
      <c r="G33" s="58"/>
      <c r="H33" s="58"/>
      <c r="I33" s="58"/>
      <c r="J33" s="58"/>
      <c r="K33" s="58"/>
      <c r="L33" s="66">
        <v>1</v>
      </c>
    </row>
    <row r="34" spans="1:13" x14ac:dyDescent="0.25">
      <c r="A34" s="555"/>
      <c r="B34" s="553"/>
      <c r="C34" s="24" t="s">
        <v>272</v>
      </c>
      <c r="D34" s="56">
        <f>'Planilha Orcamentaria'!H148</f>
        <v>5517.1893440000003</v>
      </c>
      <c r="E34" s="59"/>
      <c r="F34" s="59"/>
      <c r="G34" s="59"/>
      <c r="H34" s="59"/>
      <c r="I34" s="59"/>
      <c r="J34" s="59"/>
      <c r="K34" s="59"/>
      <c r="L34" s="67">
        <f>L33*D34</f>
        <v>5517.1893440000003</v>
      </c>
    </row>
    <row r="35" spans="1:13" ht="13.8" customHeight="1" x14ac:dyDescent="0.25">
      <c r="A35" s="554">
        <v>15</v>
      </c>
      <c r="B35" s="552" t="str">
        <f>'Planilha Orcamentaria'!C160</f>
        <v>PREVENÇÃO E COMBATE A INCÊNDIO</v>
      </c>
      <c r="C35" s="23" t="s">
        <v>271</v>
      </c>
      <c r="D35" s="54">
        <f>D36/$D$44</f>
        <v>1.5869135251739353E-3</v>
      </c>
      <c r="E35" s="58"/>
      <c r="F35" s="58"/>
      <c r="G35" s="58"/>
      <c r="H35" s="58"/>
      <c r="I35" s="58"/>
      <c r="J35" s="58"/>
      <c r="K35" s="58"/>
      <c r="L35" s="66">
        <v>1</v>
      </c>
    </row>
    <row r="36" spans="1:13" x14ac:dyDescent="0.25">
      <c r="A36" s="555"/>
      <c r="B36" s="553"/>
      <c r="C36" s="24" t="s">
        <v>272</v>
      </c>
      <c r="D36" s="56">
        <f>'Planilha Orcamentaria'!H160</f>
        <v>773.23440000000005</v>
      </c>
      <c r="E36" s="59"/>
      <c r="F36" s="59"/>
      <c r="G36" s="59"/>
      <c r="H36" s="59"/>
      <c r="I36" s="59"/>
      <c r="J36" s="59"/>
      <c r="K36" s="59"/>
      <c r="L36" s="67">
        <f>L35*D36</f>
        <v>773.23440000000005</v>
      </c>
    </row>
    <row r="37" spans="1:13" ht="13.8" customHeight="1" x14ac:dyDescent="0.25">
      <c r="A37" s="554">
        <v>16</v>
      </c>
      <c r="B37" s="552" t="str">
        <f>'Planilha Orcamentaria'!C168</f>
        <v>PAISAGISMO</v>
      </c>
      <c r="C37" s="23" t="s">
        <v>271</v>
      </c>
      <c r="D37" s="54">
        <f>D38/$D$44</f>
        <v>5.4181503909886972E-3</v>
      </c>
      <c r="E37" s="58"/>
      <c r="F37" s="58"/>
      <c r="G37" s="58"/>
      <c r="H37" s="58"/>
      <c r="I37" s="58"/>
      <c r="J37" s="58"/>
      <c r="K37" s="58"/>
      <c r="L37" s="66">
        <v>1</v>
      </c>
    </row>
    <row r="38" spans="1:13" x14ac:dyDescent="0.25">
      <c r="A38" s="555"/>
      <c r="B38" s="553"/>
      <c r="C38" s="24" t="s">
        <v>272</v>
      </c>
      <c r="D38" s="56">
        <f>'Planilha Orcamentaria'!H168</f>
        <v>2640.0306004240001</v>
      </c>
      <c r="E38" s="59"/>
      <c r="F38" s="59"/>
      <c r="G38" s="59"/>
      <c r="H38" s="59"/>
      <c r="I38" s="59"/>
      <c r="J38" s="59"/>
      <c r="K38" s="59"/>
      <c r="L38" s="67">
        <f>L37*D38</f>
        <v>2640.0306004240001</v>
      </c>
    </row>
    <row r="39" spans="1:13" ht="13.8" customHeight="1" x14ac:dyDescent="0.25">
      <c r="A39" s="554">
        <v>17</v>
      </c>
      <c r="B39" s="552" t="str">
        <f>'Planilha Orcamentaria'!C174</f>
        <v>PLACAS E SINALIZAÇÕES VISUAIS</v>
      </c>
      <c r="C39" s="23" t="s">
        <v>271</v>
      </c>
      <c r="D39" s="54">
        <f>D40/$D$44</f>
        <v>5.7209428748494122E-3</v>
      </c>
      <c r="E39" s="58"/>
      <c r="F39" s="58"/>
      <c r="G39" s="58"/>
      <c r="H39" s="58"/>
      <c r="I39" s="58"/>
      <c r="J39" s="58"/>
      <c r="K39" s="58"/>
      <c r="L39" s="66">
        <v>1</v>
      </c>
    </row>
    <row r="40" spans="1:13" x14ac:dyDescent="0.25">
      <c r="A40" s="555"/>
      <c r="B40" s="553"/>
      <c r="C40" s="24" t="s">
        <v>272</v>
      </c>
      <c r="D40" s="56">
        <f>'Planilha Orcamentaria'!H174</f>
        <v>2787.5682960000004</v>
      </c>
      <c r="E40" s="59"/>
      <c r="F40" s="59"/>
      <c r="G40" s="59"/>
      <c r="H40" s="59"/>
      <c r="I40" s="59"/>
      <c r="J40" s="59"/>
      <c r="K40" s="59"/>
      <c r="L40" s="67">
        <f>L39*D40</f>
        <v>2787.5682960000004</v>
      </c>
    </row>
    <row r="41" spans="1:13" ht="13.8" customHeight="1" x14ac:dyDescent="0.25">
      <c r="A41" s="554">
        <v>18</v>
      </c>
      <c r="B41" s="552" t="str">
        <f>'Planilha Orcamentaria'!C178</f>
        <v>LIMPEZA GERAL</v>
      </c>
      <c r="C41" s="23" t="s">
        <v>271</v>
      </c>
      <c r="D41" s="54">
        <f>D42/$D$44</f>
        <v>2.6102042761036817E-3</v>
      </c>
      <c r="E41" s="58"/>
      <c r="F41" s="58"/>
      <c r="G41" s="58"/>
      <c r="H41" s="58"/>
      <c r="I41" s="58"/>
      <c r="J41" s="58"/>
      <c r="K41" s="58"/>
      <c r="L41" s="66">
        <v>1</v>
      </c>
    </row>
    <row r="42" spans="1:13" x14ac:dyDescent="0.25">
      <c r="A42" s="555"/>
      <c r="B42" s="553"/>
      <c r="C42" s="24" t="s">
        <v>272</v>
      </c>
      <c r="D42" s="56">
        <f>'Planilha Orcamentaria'!H178</f>
        <v>1271.8397728</v>
      </c>
      <c r="E42" s="59"/>
      <c r="F42" s="59"/>
      <c r="G42" s="59"/>
      <c r="H42" s="59"/>
      <c r="I42" s="59"/>
      <c r="J42" s="59"/>
      <c r="K42" s="59"/>
      <c r="L42" s="67">
        <f>L41*D42</f>
        <v>1271.8397728</v>
      </c>
    </row>
    <row r="43" spans="1:13" x14ac:dyDescent="0.25">
      <c r="A43" s="559" t="s">
        <v>273</v>
      </c>
      <c r="B43" s="560"/>
      <c r="C43" s="25" t="s">
        <v>271</v>
      </c>
      <c r="D43" s="57">
        <f>(D8+D10+D12+D14+D16+D18+D20+D22+D24+D26+D28+D30+D32+D34+D36+D38+D42+D40)/D44</f>
        <v>0.99999999999999989</v>
      </c>
      <c r="E43" s="60">
        <f t="shared" ref="E43:L43" si="0">(E8+E10+E12+E14+E16+E18+E20+E22+E24+E26+E28+E30+E32+E34+E36+E38+E42+E40)/$D$44</f>
        <v>0.1421764241226714</v>
      </c>
      <c r="F43" s="60">
        <f t="shared" si="0"/>
        <v>8.1159581336300787E-2</v>
      </c>
      <c r="G43" s="60">
        <f t="shared" si="0"/>
        <v>0.11336837166809582</v>
      </c>
      <c r="H43" s="60">
        <f t="shared" si="0"/>
        <v>0.10898882575418736</v>
      </c>
      <c r="I43" s="60">
        <f t="shared" si="0"/>
        <v>0.11618119310030778</v>
      </c>
      <c r="J43" s="60">
        <f t="shared" si="0"/>
        <v>0.12090188990928991</v>
      </c>
      <c r="K43" s="60">
        <f t="shared" si="0"/>
        <v>0.12966934975275118</v>
      </c>
      <c r="L43" s="324">
        <f t="shared" si="0"/>
        <v>0.18755436435639569</v>
      </c>
      <c r="M43" s="69"/>
    </row>
    <row r="44" spans="1:13" ht="13.8" thickBot="1" x14ac:dyDescent="0.3">
      <c r="A44" s="561"/>
      <c r="B44" s="562"/>
      <c r="C44" s="26" t="s">
        <v>272</v>
      </c>
      <c r="D44" s="68">
        <f t="shared" ref="D44:L44" si="1">D42+D40+D38+D36+D34+D32+D30+D28+D26+D24+D22+D20+D18+D16+D14+D12+D10+D8</f>
        <v>487256.7961226803</v>
      </c>
      <c r="E44" s="68">
        <f t="shared" si="1"/>
        <v>69276.428902192216</v>
      </c>
      <c r="F44" s="68">
        <f t="shared" si="1"/>
        <v>39545.557576584004</v>
      </c>
      <c r="G44" s="68">
        <f t="shared" si="1"/>
        <v>55239.509560641614</v>
      </c>
      <c r="H44" s="68">
        <f t="shared" si="1"/>
        <v>53105.546050158402</v>
      </c>
      <c r="I44" s="68">
        <f t="shared" si="1"/>
        <v>56610.075919766416</v>
      </c>
      <c r="J44" s="68">
        <f t="shared" si="1"/>
        <v>58910.26752237761</v>
      </c>
      <c r="K44" s="68">
        <f t="shared" si="1"/>
        <v>63182.271915836805</v>
      </c>
      <c r="L44" s="325">
        <f t="shared" si="1"/>
        <v>91387.138675123206</v>
      </c>
      <c r="M44" s="323"/>
    </row>
    <row r="45" spans="1:13" ht="13.8" thickBot="1" x14ac:dyDescent="0.3">
      <c r="A45" s="27"/>
      <c r="B45" s="28"/>
      <c r="C45" s="29"/>
      <c r="D45" s="29"/>
      <c r="E45" s="28"/>
      <c r="F45" s="28"/>
      <c r="G45" s="28"/>
      <c r="H45" s="28"/>
      <c r="I45" s="28"/>
      <c r="J45" s="28"/>
      <c r="K45" s="28"/>
      <c r="L45" s="30"/>
    </row>
    <row r="46" spans="1:13" x14ac:dyDescent="0.25">
      <c r="A46" s="31"/>
      <c r="B46" s="33"/>
      <c r="C46" s="33"/>
      <c r="D46" s="33"/>
      <c r="E46" s="33"/>
      <c r="F46" s="52"/>
      <c r="G46" s="52"/>
      <c r="H46" s="52"/>
      <c r="I46" s="52"/>
      <c r="J46" s="52"/>
      <c r="K46" s="52"/>
      <c r="L46" s="326"/>
    </row>
    <row r="47" spans="1:13" x14ac:dyDescent="0.25">
      <c r="A47" s="31"/>
      <c r="B47" s="32"/>
      <c r="C47" s="33"/>
      <c r="D47" s="551"/>
      <c r="E47" s="551"/>
      <c r="F47" s="53"/>
      <c r="G47" s="22"/>
      <c r="H47" s="53"/>
      <c r="I47" s="22"/>
      <c r="J47" s="53"/>
      <c r="K47" s="22"/>
      <c r="L47" s="327"/>
    </row>
    <row r="48" spans="1:13" ht="13.2" customHeight="1" x14ac:dyDescent="0.25">
      <c r="A48" s="34"/>
      <c r="B48" s="556" t="s">
        <v>261</v>
      </c>
      <c r="C48" s="35"/>
      <c r="D48" s="558" t="s">
        <v>262</v>
      </c>
      <c r="E48" s="558"/>
      <c r="F48" s="51"/>
      <c r="G48" s="51"/>
      <c r="H48" s="51"/>
      <c r="I48" s="51"/>
      <c r="J48" s="51"/>
      <c r="K48" s="51"/>
      <c r="L48" s="328"/>
    </row>
    <row r="49" spans="1:12" ht="29.4" customHeight="1" thickBot="1" x14ac:dyDescent="0.3">
      <c r="A49" s="36"/>
      <c r="B49" s="557"/>
      <c r="C49" s="37"/>
      <c r="D49" s="37"/>
      <c r="E49" s="38"/>
      <c r="F49" s="329"/>
      <c r="G49" s="329"/>
      <c r="H49" s="329"/>
      <c r="I49" s="329"/>
      <c r="J49" s="329"/>
      <c r="K49" s="329"/>
      <c r="L49" s="330"/>
    </row>
    <row r="50" spans="1:12" x14ac:dyDescent="0.25">
      <c r="A50" s="40"/>
      <c r="B50" s="41"/>
      <c r="C50" s="35"/>
      <c r="D50" s="35"/>
      <c r="E50" s="39"/>
      <c r="F50" s="39"/>
      <c r="G50" s="39"/>
      <c r="H50" s="39"/>
      <c r="I50" s="39"/>
      <c r="J50" s="39"/>
      <c r="K50" s="39"/>
      <c r="L50" s="39"/>
    </row>
    <row r="51" spans="1:12" x14ac:dyDescent="0.25">
      <c r="A51" s="40"/>
      <c r="B51" s="41"/>
      <c r="C51" s="35"/>
      <c r="D51" s="35"/>
      <c r="E51" s="39"/>
      <c r="F51" s="39"/>
      <c r="G51" s="39"/>
      <c r="H51" s="39"/>
      <c r="I51" s="39"/>
      <c r="J51" s="39"/>
      <c r="K51" s="39"/>
      <c r="L51" s="39"/>
    </row>
    <row r="52" spans="1:12" x14ac:dyDescent="0.25">
      <c r="A52" s="42"/>
      <c r="B52" s="43"/>
      <c r="C52" s="44"/>
      <c r="D52" s="44"/>
      <c r="E52" s="45"/>
      <c r="F52" s="45"/>
      <c r="G52" s="45"/>
      <c r="H52" s="45"/>
      <c r="I52" s="45"/>
      <c r="J52" s="45"/>
      <c r="K52" s="45"/>
      <c r="L52" s="45"/>
    </row>
    <row r="53" spans="1:12" ht="13.8" thickBot="1" x14ac:dyDescent="0.3">
      <c r="A53" s="46"/>
      <c r="B53" s="47"/>
      <c r="C53" s="48"/>
      <c r="D53" s="48"/>
      <c r="E53" s="38"/>
      <c r="F53" s="39"/>
      <c r="G53" s="38"/>
      <c r="H53" s="39"/>
      <c r="I53" s="38"/>
      <c r="J53" s="39"/>
      <c r="K53" s="38"/>
      <c r="L53" s="39"/>
    </row>
    <row r="54" spans="1:12" x14ac:dyDescent="0.25">
      <c r="A54" s="49"/>
      <c r="B54" s="49"/>
      <c r="C54" s="50"/>
      <c r="D54" s="50"/>
      <c r="E54" s="49"/>
      <c r="F54" s="49"/>
      <c r="G54" s="49"/>
      <c r="H54" s="49"/>
      <c r="I54" s="49"/>
      <c r="J54" s="49"/>
      <c r="K54" s="49"/>
      <c r="L54" s="49"/>
    </row>
    <row r="55" spans="1:12" x14ac:dyDescent="0.25">
      <c r="A55" s="49"/>
      <c r="B55" s="49"/>
      <c r="C55" s="50"/>
      <c r="D55" s="50"/>
      <c r="E55" s="49"/>
      <c r="F55" s="49"/>
      <c r="G55" s="49"/>
      <c r="H55" s="49"/>
      <c r="I55" s="49"/>
      <c r="J55" s="49"/>
      <c r="K55" s="49"/>
      <c r="L55" s="49"/>
    </row>
    <row r="56" spans="1:12" x14ac:dyDescent="0.25">
      <c r="A56" s="49"/>
      <c r="B56" s="49"/>
      <c r="C56" s="50"/>
      <c r="D56" s="50"/>
      <c r="E56" s="49"/>
      <c r="F56" s="49"/>
      <c r="G56" s="49"/>
      <c r="H56" s="49"/>
      <c r="I56" s="49"/>
      <c r="J56" s="49"/>
      <c r="K56" s="49"/>
      <c r="L56" s="49"/>
    </row>
    <row r="57" spans="1:12" x14ac:dyDescent="0.25">
      <c r="A57" s="49"/>
      <c r="B57" s="49"/>
      <c r="C57" s="50"/>
      <c r="D57" s="50"/>
      <c r="E57" s="49"/>
      <c r="F57" s="49"/>
      <c r="G57" s="49"/>
      <c r="H57" s="49"/>
      <c r="I57" s="49"/>
      <c r="J57" s="49"/>
      <c r="K57" s="49"/>
      <c r="L57" s="49"/>
    </row>
    <row r="58" spans="1:12" x14ac:dyDescent="0.25">
      <c r="A58" s="49"/>
      <c r="B58" s="49"/>
      <c r="C58" s="50"/>
      <c r="D58" s="50"/>
      <c r="E58" s="49"/>
      <c r="F58" s="49"/>
      <c r="G58" s="49"/>
      <c r="H58" s="49"/>
      <c r="I58" s="49"/>
      <c r="J58" s="49"/>
      <c r="K58" s="49"/>
      <c r="L58" s="49"/>
    </row>
    <row r="59" spans="1:12" x14ac:dyDescent="0.25">
      <c r="A59" s="49"/>
      <c r="B59" s="49"/>
      <c r="C59" s="50"/>
      <c r="D59" s="50"/>
      <c r="E59" s="49"/>
      <c r="F59" s="49"/>
      <c r="G59" s="49"/>
      <c r="H59" s="49"/>
      <c r="I59" s="49"/>
      <c r="J59" s="49"/>
      <c r="K59" s="49"/>
      <c r="L59" s="49"/>
    </row>
    <row r="60" spans="1:12" x14ac:dyDescent="0.25">
      <c r="A60" s="49"/>
      <c r="B60" s="49"/>
      <c r="C60" s="50"/>
      <c r="D60" s="50"/>
      <c r="E60" s="49"/>
      <c r="F60" s="49"/>
      <c r="G60" s="49"/>
      <c r="H60" s="49"/>
      <c r="I60" s="49"/>
      <c r="J60" s="49"/>
      <c r="K60" s="49"/>
      <c r="L60" s="49"/>
    </row>
  </sheetData>
  <mergeCells count="49">
    <mergeCell ref="B9:B10"/>
    <mergeCell ref="A25:A26"/>
    <mergeCell ref="A39:A40"/>
    <mergeCell ref="B39:B40"/>
    <mergeCell ref="B35:B36"/>
    <mergeCell ref="A9:A10"/>
    <mergeCell ref="B33:B34"/>
    <mergeCell ref="A11:A12"/>
    <mergeCell ref="B11:B12"/>
    <mergeCell ref="A1:L1"/>
    <mergeCell ref="A2:L3"/>
    <mergeCell ref="F4:H4"/>
    <mergeCell ref="A7:A8"/>
    <mergeCell ref="B7:B8"/>
    <mergeCell ref="A4:C4"/>
    <mergeCell ref="D4:E4"/>
    <mergeCell ref="I4:L4"/>
    <mergeCell ref="I5:L5"/>
    <mergeCell ref="D5:H5"/>
    <mergeCell ref="A5:C5"/>
    <mergeCell ref="B48:B49"/>
    <mergeCell ref="D48:E48"/>
    <mergeCell ref="A13:A14"/>
    <mergeCell ref="B13:B14"/>
    <mergeCell ref="A15:A16"/>
    <mergeCell ref="B15:B16"/>
    <mergeCell ref="A17:A18"/>
    <mergeCell ref="B17:B18"/>
    <mergeCell ref="A19:A20"/>
    <mergeCell ref="B19:B20"/>
    <mergeCell ref="A21:A22"/>
    <mergeCell ref="B21:B22"/>
    <mergeCell ref="A23:A24"/>
    <mergeCell ref="B23:B24"/>
    <mergeCell ref="A35:A36"/>
    <mergeCell ref="A43:B44"/>
    <mergeCell ref="D47:E47"/>
    <mergeCell ref="B25:B26"/>
    <mergeCell ref="A27:A28"/>
    <mergeCell ref="B27:B28"/>
    <mergeCell ref="A29:A30"/>
    <mergeCell ref="B29:B30"/>
    <mergeCell ref="A37:A38"/>
    <mergeCell ref="B37:B38"/>
    <mergeCell ref="A41:A42"/>
    <mergeCell ref="B41:B42"/>
    <mergeCell ref="A31:A32"/>
    <mergeCell ref="B31:B32"/>
    <mergeCell ref="A33:A34"/>
  </mergeCells>
  <printOptions horizontalCentered="1"/>
  <pageMargins left="0.59055118110236227" right="0" top="0.78740157480314965" bottom="0" header="0" footer="0"/>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5</vt:i4>
      </vt:variant>
    </vt:vector>
  </HeadingPairs>
  <TitlesOfParts>
    <vt:vector size="11" baseType="lpstr">
      <vt:lpstr>COTAÇÃO</vt:lpstr>
      <vt:lpstr>COMPOSIÇÃO DE CUSTO</vt:lpstr>
      <vt:lpstr>ANEXO A MC</vt:lpstr>
      <vt:lpstr>MEC 01 </vt:lpstr>
      <vt:lpstr>Planilha Orcamentaria</vt:lpstr>
      <vt:lpstr>CFF</vt:lpstr>
      <vt:lpstr>'ANEXO A MC'!Area_de_impressao</vt:lpstr>
      <vt:lpstr>CFF!Area_de_impressao</vt:lpstr>
      <vt:lpstr>COTAÇÃO!Area_de_impressao</vt:lpstr>
      <vt:lpstr>'MEC 01 '!Area_de_impressao</vt:lpstr>
      <vt:lpstr>'Planilha Orcamentaria'!Area_de_impressao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Setop</dc:creator>
  <cp:lastModifiedBy>Dell</cp:lastModifiedBy>
  <cp:lastPrinted>2022-01-25T12:10:03Z</cp:lastPrinted>
  <dcterms:created xsi:type="dcterms:W3CDTF">2006-09-22T13:55:22Z</dcterms:created>
  <dcterms:modified xsi:type="dcterms:W3CDTF">2022-01-25T12:10:24Z</dcterms:modified>
</cp:coreProperties>
</file>